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b3accece0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stor Dashboard" sheetId="1" r:id="R21227ff1a2be4f47"/>
    <x:sheet xmlns:r="http://schemas.openxmlformats.org/officeDocument/2006/relationships" name="Assumptions" sheetId="2" r:id="R7bda16d41e6d49f7"/>
    <x:sheet xmlns:r="http://schemas.openxmlformats.org/officeDocument/2006/relationships" name="Marketing &amp; Revenue Pipeline" sheetId="3" r:id="Rab20e984ee9a482f"/>
    <x:sheet xmlns:r="http://schemas.openxmlformats.org/officeDocument/2006/relationships" name="Cost of Service" sheetId="4" r:id="R592841939d8e4442"/>
    <x:sheet xmlns:r="http://schemas.openxmlformats.org/officeDocument/2006/relationships" name="Technology &amp; Product Investment" sheetId="5" r:id="R929df149358a48db"/>
    <x:sheet xmlns:r="http://schemas.openxmlformats.org/officeDocument/2006/relationships" name="Compliance &amp; Regulatory" sheetId="6" r:id="R165e5d3616d4489a"/>
    <x:sheet xmlns:r="http://schemas.openxmlformats.org/officeDocument/2006/relationships" name="Cash Flow &amp; Runway" sheetId="7" r:id="Rd0c6120ec97446cd"/>
    <x:sheet xmlns:r="http://schemas.openxmlformats.org/officeDocument/2006/relationships" name="P&amp;L" sheetId="8" r:id="R730989e36bc04034"/>
    <x:sheet xmlns:r="http://schemas.openxmlformats.org/officeDocument/2006/relationships" name="Balance Sheet" sheetId="9" r:id="R2f7aed3fc7064a11"/>
    <x:sheet xmlns:r="http://schemas.openxmlformats.org/officeDocument/2006/relationships" name="Funding Ask &amp; Deployment" sheetId="10" r:id="R38f5887792984236"/>
    <x:sheet xmlns:r="http://schemas.openxmlformats.org/officeDocument/2006/relationships" name="Model Checks" sheetId="11" r:id="R5039ed7c19874d2e"/>
  </x:sheets>
</x:workbook>
</file>

<file path=xl/comments1.xml><?xml version="1.0" encoding="utf-8"?>
<x:comments xmlns:x="http://schemas.openxmlformats.org/spreadsheetml/2006/main">
  <x:authors>
    <x:author>tc={AC9FBC9E-4E08-4729-B8B7-AA55DF30F3B6}</x:author>
    <x:author>tc={0CC090E1-0AF5-407D-B431-0D7979481A6A}</x:author>
    <x:author>tc={5395D0D9-7845-4C99-A762-B2D55F13D218}</x:author>
    <x:author>tc={E0B4F29E-3487-4DED-AC7A-01F189F41CA6}</x:author>
    <x:author>tc={27B075AA-820A-4DDB-912B-9DEA6A13BE3E}</x:author>
    <x:author>tc={518EFF69-BC93-4471-A106-0C839BF5B36F}</x:author>
    <x:author>tc={5988E633-F1EE-4362-9E50-1C2FDD2B9D24}</x:author>
    <x:author>tc={CFDA9F7F-2209-4958-9F1B-EAB2CBDB2150}</x:author>
    <x:author>tc={D3E486C5-74B0-4EE3-9861-4ECD87766BF2}</x:author>
    <x:author>tc={4BC16158-4EF0-4445-B0DE-0C27F8E007FB}</x:author>
  </x:authors>
  <x:commentList>
    <x:comment ref="C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Pasted EQ financial-model brief, 2026-09-02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Pasted EQ financial-model brief, 2026-09-02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Pasted EQ financial-model brief, 2026-09-02</x:t>
        </x:r>
      </x:text>
    </x:comment>
    <x:comment ref="C12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Pasted EQ financial-model brief, 2026-09-02</x:t>
        </x:r>
      </x:text>
    </x:comment>
    <x:comment ref="C18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Pasted EQ financial-model brief, 2026-09-02</x:t>
        </x:r>
      </x:text>
    </x:comment>
    <x:comment ref="C24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Pasted EQ financial-model brief, 2026-09-02</x:t>
        </x:r>
      </x:text>
    </x:comment>
    <x:comment ref="C25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Pasted EQ financial-model brief, 2026-09-02</x:t>
        </x:r>
      </x:text>
    </x:comment>
    <x:comment ref="C27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Pasted EQ financial-model brief, 2026-09-02</x:t>
        </x:r>
      </x:text>
    </x:comment>
    <x:comment ref="C23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MODEL DEFAULT - VERIFY: brief did not specify this operating driver.</x:t>
        </x:r>
      </x:text>
    </x:comment>
    <x:comment ref="C3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MODEL DEFAULT - VERIFY: brief did not specify this operating driver.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;[Red](#,##0.0);-"/>
    <x:numFmt numFmtId="201" formatCode="0.0%;[Red](0.0%);-"/>
    <x:numFmt numFmtId="202" formatCode="#,##0;[Red](#,##0);-"/>
  </x:numFmts>
  <x:fonts count="10">
    <x:font>
      <x:sz val="11"/>
      <x:name val="Carlito"/>
    </x:font>
    <x:font>
      <x:sz val="10"/>
      <x:name val="Aptos"/>
    </x:font>
    <x:font>
      <x:b/>
      <x:sz val="16"/>
      <x:color rgb="FF0F172A"/>
      <x:name val="Aptos"/>
    </x:font>
    <x:font>
      <x:sz val="9"/>
      <x:color rgb="FF475569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0"/>
      <x:color rgb="FF008000"/>
      <x:name val="Aptos"/>
    </x:font>
    <x:font>
      <x:b/>
      <x:sz val="11"/>
      <x:name val="Carlito"/>
    </x:font>
    <x:font>
      <x:b/>
      <x:sz val="11"/>
      <x:color rgb="FF0F172A"/>
      <x:name val="Carlito"/>
    </x:font>
    <x:font>
      <x:sz val="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7CC"/>
      </x:patternFill>
    </x:fill>
    <x:fill>
      <x:patternFill patternType="solid">
        <x:fgColor rgb="FF0F172A"/>
      </x:patternFill>
    </x:fill>
    <x:fill>
      <x:patternFill patternType="solid">
        <x:fgColor rgb="FFE2E8F0"/>
      </x:patternFill>
    </x:fill>
    <x:fill>
      <x:patternFill patternType="solid">
        <x:fgColor rgb="FFFFFFFF"/>
      </x:patternFill>
    </x:fill>
  </x:fills>
  <x:borders count="25"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  <x:border>
      <x:left style="thin">
        <x:color rgb="FF334155"/>
      </x:left>
      <x:top style="thin">
        <x:color rgb="FF334155"/>
      </x:top>
      <x:bottom style="thin">
        <x:color rgb="FF334155"/>
      </x:bottom>
    </x:border>
    <x:border>
      <x:top style="thin">
        <x:color rgb="FF334155"/>
      </x:top>
      <x:bottom style="thin">
        <x:color rgb="FF334155"/>
      </x:bottom>
    </x:border>
    <x:border>
      <x:right style="thin">
        <x:color rgb="FF334155"/>
      </x:right>
      <x:top style="thin">
        <x:color rgb="FF334155"/>
      </x:top>
      <x:bottom style="thin">
        <x:color rgb="FF334155"/>
      </x:bottom>
    </x:border>
    <x:border>
      <x:left style="thin">
        <x:color rgb="FFCBD5E1"/>
      </x:left>
      <x:right style="thin">
        <x:color rgb="FFE2E8F0"/>
      </x:right>
      <x:top style="thin">
        <x:color rgb="FFCBD5E1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CBD5E1"/>
      </x:top>
      <x:bottom style="thin">
        <x:color rgb="FFE2E8F0"/>
      </x:bottom>
    </x:border>
    <x:border>
      <x:left style="thin">
        <x:color rgb="FFE2E8F0"/>
      </x:left>
      <x:top style="thin">
        <x:color rgb="FFCBD5E1"/>
      </x:top>
      <x:bottom style="thin">
        <x:color rgb="FFE2E8F0"/>
      </x:bottom>
    </x:border>
    <x:border>
      <x:left style="thin">
        <x:color rgb="FFCBD5E1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CBD5E1"/>
      </x:left>
      <x:right style="thin">
        <x:color rgb="FFE2E8F0"/>
      </x:right>
      <x:top style="thin">
        <x:color rgb="FFE2E8F0"/>
      </x:top>
      <x:bottom style="thin">
        <x:color rgb="FFCBD5E1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CBD5E1"/>
      </x:bottom>
    </x:border>
    <x:border>
      <x:left style="thin">
        <x:color rgb="FFE2E8F0"/>
      </x:left>
      <x:top style="thin">
        <x:color rgb="FFE2E8F0"/>
      </x:top>
      <x:bottom style="thin">
        <x:color rgb="FFCBD5E1"/>
      </x:bottom>
    </x:border>
    <x:border>
      <x:top style="thin">
        <x:color rgb="FF64748B"/>
      </x:top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9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2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5" fillId="3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5" fillId="3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5" fillId="3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5" fillId="3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5" fillId="3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200" fontId="5" fillId="3" borderId="5" xfId="0" applyNumberFormat="1" applyFont="1" applyFill="1" applyBorder="1" applyAlignment="1">
      <x:alignment wrapText="1"/>
    </x:xf>
    <x:xf numFmtId="200" fontId="5" fillId="3" borderId="8" xfId="0" applyNumberFormat="1" applyFont="1" applyFill="1" applyBorder="1" applyAlignment="1">
      <x:alignment wrapText="1"/>
    </x:xf>
    <x:xf numFmtId="200" fontId="5" fillId="3" borderId="11" xfId="0" applyNumberFormat="1" applyFont="1" applyFill="1" applyBorder="1" applyAlignment="1">
      <x:alignment wrapText="1"/>
    </x:xf>
    <x:xf numFmtId="201" fontId="5" fillId="3" borderId="8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3" xfId="0" applyNumberFormat="1" applyFont="1" applyFill="1" applyBorder="1"/>
    <x:xf numFmtId="0" fontId="4" fillId="4" borderId="14" xfId="0" applyNumberFormat="1" applyFont="1" applyFill="1" applyBorder="1"/>
    <x:xf numFmtId="0" fontId="4" fillId="4" borderId="15" xfId="0" applyNumberFormat="1" applyFont="1" applyFill="1" applyBorder="1"/>
    <x:xf numFmtId="202" fontId="5" fillId="3" borderId="0" xfId="0" applyNumberFormat="1" applyFont="1" applyFill="1" applyBorder="1"/>
    <x:xf numFmtId="201" fontId="5" fillId="3" borderId="0" xfId="0" applyNumberFormat="1" applyFont="1" applyFill="1" applyBorder="1"/>
    <x:xf numFmtId="0" fontId="4" fillId="2" borderId="16" xfId="0" applyNumberFormat="1" applyFont="1" applyFill="1" applyBorder="1" applyAlignment="1">
      <x:alignment horizontal="center"/>
    </x:xf>
    <x:xf numFmtId="0" fontId="4" fillId="2" borderId="17" xfId="0" applyNumberFormat="1" applyFont="1" applyFill="1" applyBorder="1" applyAlignment="1">
      <x:alignment horizontal="center"/>
    </x:xf>
    <x:xf numFmtId="0" fontId="4" fillId="2" borderId="18" xfId="0" applyNumberFormat="1" applyFont="1" applyFill="1" applyBorder="1" applyAlignment="1">
      <x:alignment horizontal="center"/>
    </x:xf>
    <x:xf numFmtId="0" fontId="4" fillId="4" borderId="19" xfId="0" applyNumberFormat="1" applyFont="1" applyFill="1" applyBorder="1"/>
    <x:xf numFmtId="0" fontId="4" fillId="4" borderId="8" xfId="0" applyNumberFormat="1" applyFont="1" applyFill="1" applyBorder="1"/>
    <x:xf numFmtId="0" fontId="4" fillId="4" borderId="9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6" fillId="0" borderId="0" xfId="0" applyNumberFormat="1" applyFont="1" applyFill="1" applyBorder="1"/>
    <x:xf numFmtId="202" fontId="0" fillId="0" borderId="8" xfId="0" applyNumberFormat="1" applyFont="1" applyFill="1" applyBorder="1"/>
    <x:xf numFmtId="202" fontId="0" fillId="0" borderId="9" xfId="0" applyNumberFormat="1" applyFont="1" applyFill="1" applyBorder="1"/>
    <x:xf numFmtId="202" fontId="4" fillId="4" borderId="8" xfId="0" applyNumberFormat="1" applyFont="1" applyFill="1" applyBorder="1"/>
    <x:xf numFmtId="202" fontId="4" fillId="4" borderId="9" xfId="0" applyNumberFormat="1" applyFont="1" applyFill="1" applyBorder="1"/>
    <x:xf numFmtId="200" fontId="0" fillId="0" borderId="8" xfId="0" applyNumberFormat="1" applyFont="1" applyFill="1" applyBorder="1"/>
    <x:xf numFmtId="200" fontId="0" fillId="0" borderId="9" xfId="0" applyNumberFormat="1" applyFont="1" applyFill="1" applyBorder="1"/>
    <x:xf numFmtId="201" fontId="0" fillId="0" borderId="8" xfId="0" applyNumberFormat="1" applyFont="1" applyFill="1" applyBorder="1"/>
    <x:xf numFmtId="201" fontId="0" fillId="0" borderId="9" xfId="0" applyNumberFormat="1" applyFont="1" applyFill="1" applyBorder="1"/>
    <x:xf numFmtId="202" fontId="0" fillId="0" borderId="21" xfId="0" applyNumberFormat="1" applyFont="1" applyFill="1" applyBorder="1"/>
    <x:xf numFmtId="202" fontId="0" fillId="0" borderId="22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23" xfId="0" applyNumberFormat="1" applyFont="1" applyFill="1" applyBorder="1"/>
    <x:xf numFmtId="200" fontId="0" fillId="0" borderId="0" xfId="0" applyNumberFormat="1" applyFont="1" applyFill="1" applyBorder="1"/>
    <x:xf numFmtId="200" fontId="7" fillId="5" borderId="23" xfId="0" applyNumberFormat="1" applyFont="1" applyFill="1" applyBorder="1"/>
    <x:xf numFmtId="201" fontId="0" fillId="0" borderId="0" xfId="0" applyNumberFormat="1" applyFont="1" applyFill="1" applyBorder="1"/>
    <x:xf numFmtId="200" fontId="5" fillId="3" borderId="0" xfId="0" applyNumberFormat="1" applyFont="1" applyFill="1" applyBorder="1"/>
    <x:xf numFmtId="201" fontId="7" fillId="5" borderId="23" xfId="0" applyNumberFormat="1" applyFont="1" applyFill="1" applyBorder="1"/>
    <x:xf numFmtId="0" fontId="4" fillId="2" borderId="24" xfId="0" applyNumberFormat="1" applyFont="1" applyFill="1" applyBorder="1"/>
    <x:xf numFmtId="0" fontId="4" fillId="2" borderId="24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5" xfId="0" applyNumberFormat="1" applyFont="1" applyFill="1" applyBorder="1"/>
    <x:xf numFmtId="0" fontId="8" fillId="0" borderId="8" xfId="0" applyNumberFormat="1" applyFont="1" applyFill="1" applyBorder="1"/>
    <x:xf numFmtId="0" fontId="8" fillId="0" borderId="11" xfId="0" applyNumberFormat="1" applyFont="1" applyFill="1" applyBorder="1"/>
    <x:xf numFmtId="0" fontId="8" fillId="0" borderId="6" xfId="0" applyNumberFormat="1" applyFont="1" applyFill="1" applyBorder="1"/>
    <x:xf numFmtId="0" fontId="8" fillId="0" borderId="9" xfId="0" applyNumberFormat="1" applyFont="1" applyFill="1" applyBorder="1"/>
    <x:xf numFmtId="0" fontId="8" fillId="0" borderId="12" xfId="0" applyNumberFormat="1" applyFont="1" applyFill="1" applyBorder="1"/>
    <x:xf numFmtId="202" fontId="8" fillId="0" borderId="8" xfId="0" applyNumberFormat="1" applyFont="1" applyFill="1" applyBorder="1"/>
    <x:xf numFmtId="202" fontId="8" fillId="0" borderId="9" xfId="0" applyNumberFormat="1" applyFont="1" applyFill="1" applyBorder="1"/>
    <x:xf numFmtId="200" fontId="8" fillId="0" borderId="8" xfId="0" applyNumberFormat="1" applyFont="1" applyFill="1" applyBorder="1"/>
    <x:xf numFmtId="200" fontId="8" fillId="0" borderId="9" xfId="0" applyNumberFormat="1" applyFont="1" applyFill="1" applyBorder="1"/>
    <x:xf numFmtId="201" fontId="8" fillId="0" borderId="9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ec180920645aa" /><Relationship Type="http://schemas.openxmlformats.org/officeDocument/2006/relationships/theme" Target="/xl/theme/theme1.xml" Id="Re53343aa5c2f4387" /><Relationship Type="http://schemas.openxmlformats.org/officeDocument/2006/relationships/sharedStrings" Target="/xl/sharedStrings.xml" Id="Rc77a6d1308324d64" /><Relationship Type="http://schemas.openxmlformats.org/officeDocument/2006/relationships/worksheet" Target="/xl/worksheets/sheet1.xml" Id="R21227ff1a2be4f47" /><Relationship Type="http://schemas.openxmlformats.org/officeDocument/2006/relationships/worksheet" Target="/xl/worksheets/sheet2.xml" Id="R7bda16d41e6d49f7" /><Relationship Type="http://schemas.openxmlformats.org/officeDocument/2006/relationships/worksheet" Target="/xl/worksheets/sheet3.xml" Id="Rab20e984ee9a482f" /><Relationship Type="http://schemas.openxmlformats.org/officeDocument/2006/relationships/worksheet" Target="/xl/worksheets/sheet4.xml" Id="R592841939d8e4442" /><Relationship Type="http://schemas.openxmlformats.org/officeDocument/2006/relationships/worksheet" Target="/xl/worksheets/sheet5.xml" Id="R929df149358a48db" /><Relationship Type="http://schemas.openxmlformats.org/officeDocument/2006/relationships/worksheet" Target="/xl/worksheets/sheet6.xml" Id="R165e5d3616d4489a" /><Relationship Type="http://schemas.openxmlformats.org/officeDocument/2006/relationships/worksheet" Target="/xl/worksheets/sheet7.xml" Id="Rd0c6120ec97446cd" /><Relationship Type="http://schemas.openxmlformats.org/officeDocument/2006/relationships/worksheet" Target="/xl/worksheets/sheet8.xml" Id="R730989e36bc04034" /><Relationship Type="http://schemas.openxmlformats.org/officeDocument/2006/relationships/worksheet" Target="/xl/worksheets/sheet9.xml" Id="R2f7aed3fc7064a11" /><Relationship Type="http://schemas.openxmlformats.org/officeDocument/2006/relationships/worksheet" Target="/xl/worksheets/sheet10.xml" Id="R38f5887792984236" /><Relationship Type="http://schemas.openxmlformats.org/officeDocument/2006/relationships/worksheet" Target="/xl/worksheets/sheet11.xml" Id="R5039ed7c19874d2e" /><Relationship Type="http://schemas.microsoft.com/office/2017/10/relationships/person" Target="/xl/persons/person.xml" Id="Rf4cfffc2fef745e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4c676502373481b" /><Relationship Type="http://schemas.openxmlformats.org/officeDocument/2006/relationships/chart" Target="/xl/drawings/charts/chart2.xml" Id="R5a2e7986592a4621" /><Relationship Type="http://schemas.openxmlformats.org/officeDocument/2006/relationships/chart" Target="/xl/drawings/charts/chart3.xml" Id="R38c6ccf03499426f" /><Relationship Type="http://schemas.openxmlformats.org/officeDocument/2006/relationships/chart" Target="/xl/drawings/charts/chart4.xml" Id="R19d018db511d4907" /><Relationship Type="http://schemas.openxmlformats.org/officeDocument/2006/relationships/chart" Target="/xl/drawings/charts/chart5.xml" Id="R3bfb36822f594f64" /><Relationship Type="http://schemas.openxmlformats.org/officeDocument/2006/relationships/chart" Target="/xl/drawings/charts/chart6.xml" Id="Ra667e0f6d2ea4acd" /><Relationship Type="http://schemas.openxmlformats.org/officeDocument/2006/relationships/chart" Target="/xl/drawings/charts/chart7.xml" Id="Rd31c7d3491d6472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Registered -&gt; Active -&gt; Paying Users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Registered</c:v>
          </c:tx>
          <c:spPr>
            <a:solidFill xmlns:a="http://schemas.openxmlformats.org/drawingml/2006/main">
              <a:srgbClr val="156C8A"/>
            </a:solidFill>
          </c:spPr>
          <c:marker>
            <c:symbol val="none"/>
          </c:marker>
          <c:cat>
            <c:strRef>
              <c:f>'Marketing &amp; Revenue Pipeline'!$B$4:$Y$4</c:f>
              <c:strCache>
                <c:ptCount val="0"/>
              </c:strCache>
            </c:strRef>
          </c:cat>
          <c:val>
            <c:numRef>
              <c:f>'Marketing &amp; Revenue Pipeline'!$B$21:$Y$21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Active</c:v>
          </c:tx>
          <c:spPr>
            <a:solidFill xmlns:a="http://schemas.openxmlformats.org/drawingml/2006/main">
              <a:srgbClr val="F97316"/>
            </a:solidFill>
          </c:spPr>
          <c:marker>
            <c:symbol val="none"/>
          </c:marker>
          <c:cat>
            <c:strRef>
              <c:f>'Marketing &amp; Revenue Pipeline'!$B$4:$Y$4</c:f>
              <c:strCache>
                <c:ptCount val="0"/>
              </c:strCache>
            </c:strRef>
          </c:cat>
          <c:val>
            <c:numRef>
              <c:f>'Marketing &amp; Revenue Pipeline'!$B$36:$Y$36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Paying</c:v>
          </c:tx>
          <c:spPr>
            <a:solidFill xmlns:a="http://schemas.openxmlformats.org/drawingml/2006/main">
              <a:srgbClr val="15803D"/>
            </a:solidFill>
          </c:spPr>
          <c:marker>
            <c:symbol val="none"/>
          </c:marker>
          <c:cat>
            <c:strRef>
              <c:f>'Marketing &amp; Revenue Pipeline'!$B$4:$Y$4</c:f>
              <c:strCache>
                <c:ptCount val="0"/>
              </c:strCache>
            </c:strRef>
          </c:cat>
          <c:val>
            <c:numRef>
              <c:f>'Marketing &amp; Revenue Pipeline'!$B$41:$Y$41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and Cumulative Revenue (INR lakh)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156C8A"/>
            </a:solidFill>
          </c:spPr>
          <c:marker>
            <c:symbol val="none"/>
          </c:marker>
          <c:cat>
            <c:strRef>
              <c:f>'Marketing &amp; Revenue Pipeline'!$B$4:$Y$4</c:f>
              <c:strCache>
                <c:ptCount val="0"/>
              </c:strCache>
            </c:strRef>
          </c:cat>
          <c:val>
            <c:numRef>
              <c:f>'Marketing &amp; Revenue Pipeline'!$B$47:$Y$47</c:f>
              <c:numCache>
                <c:formatCode>#,##0.0</c:formatCode>
                <c:ptCount val="0"/>
              </c:numCache>
            </c:numRef>
          </c:val>
          <c:smooth val="0"/>
        </c:ser>
        <c:ser>
          <c:idx val="1"/>
          <c:order val="1"/>
          <c:tx>
            <c:v>Cumulative Revenue</c:v>
          </c:tx>
          <c:spPr>
            <a:solidFill xmlns:a="http://schemas.openxmlformats.org/drawingml/2006/main">
              <a:srgbClr val="F97316"/>
            </a:solidFill>
          </c:spPr>
          <c:marker>
            <c:symbol val="none"/>
          </c:marker>
          <c:cat>
            <c:strRef>
              <c:f>'Marketing &amp; Revenue Pipeline'!$B$4:$Y$4</c:f>
              <c:strCache>
                <c:ptCount val="0"/>
              </c:strCache>
            </c:strRef>
          </c:cat>
          <c:val>
            <c:numRef>
              <c:f>'Investor Dashboard'!$N$80:$AK$80</c:f>
              <c:numCache>
                <c:formatCode>#,##0.0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.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 Composition (INR lakh)</a:t>
            </a:r>
          </a:p>
        </c:rich>
      </c:tx>
      <c:overlay val="0"/>
    </c:title>
    <c:plotArea>
      <c:areaChart>
        <c:ser>
          <c:idx val="0"/>
          <c:order val="0"/>
          <c:tx>
            <c:v>Subscription</c:v>
          </c:tx>
          <c:spPr>
            <a:solidFill xmlns:a="http://schemas.openxmlformats.org/drawingml/2006/main">
              <a:srgbClr val="156C8A"/>
            </a:solidFill>
          </c:spPr>
          <c:cat>
            <c:strRef>
              <c:f>'Marketing &amp; Revenue Pipeline'!$B$4:$Y$4</c:f>
              <c:strCache>
                <c:ptCount val="0"/>
              </c:strCache>
            </c:strRef>
          </c:cat>
          <c:val>
            <c:numRef>
              <c:f>'Marketing &amp; Revenue Pipeline'!$B$44:$Y$44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Partner</c:v>
          </c:tx>
          <c:spPr>
            <a:solidFill xmlns:a="http://schemas.openxmlformats.org/drawingml/2006/main">
              <a:srgbClr val="F97316"/>
            </a:solidFill>
          </c:spPr>
          <c:cat>
            <c:strRef>
              <c:f>'Marketing &amp; Revenue Pipeline'!$B$4:$Y$4</c:f>
              <c:strCache>
                <c:ptCount val="0"/>
              </c:strCache>
            </c:strRef>
          </c:cat>
          <c:val>
            <c:numRef>
              <c:f>'Marketing &amp; Revenue Pipeline'!$B$45:$Y$45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Premium Advisory</c:v>
          </c:tx>
          <c:spPr>
            <a:solidFill xmlns:a="http://schemas.openxmlformats.org/drawingml/2006/main">
              <a:srgbClr val="15803D"/>
            </a:solidFill>
          </c:spPr>
          <c:cat>
            <c:strRef>
              <c:f>'Marketing &amp; Revenue Pipeline'!$B$4:$Y$4</c:f>
              <c:strCache>
                <c:ptCount val="0"/>
              </c:strCache>
            </c:strRef>
          </c:cat>
          <c:val>
            <c:numRef>
              <c:f>'Marketing &amp; Revenue Pipeline'!$B$46:$Y$46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area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Burn and Closing Cash (INR lakh)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Monthly Burn</c:v>
          </c:tx>
          <c:spPr>
            <a:solidFill xmlns:a="http://schemas.openxmlformats.org/drawingml/2006/main">
              <a:srgbClr val="156C8A"/>
            </a:solidFill>
          </c:spPr>
          <c:marker>
            <c:symbol val="none"/>
          </c:marker>
          <c:cat>
            <c:strRef>
              <c:f>'Marketing &amp; Revenue Pipeline'!$B$4:$Y$4</c:f>
              <c:strCache>
                <c:ptCount val="0"/>
              </c:strCache>
            </c:strRef>
          </c:cat>
          <c:val>
            <c:numRef>
              <c:f>'Cash Flow &amp; Runway'!$B$24:$Y$24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Closing Cash</c:v>
          </c:tx>
          <c:spPr>
            <a:solidFill xmlns:a="http://schemas.openxmlformats.org/drawingml/2006/main">
              <a:srgbClr val="F97316"/>
            </a:solidFill>
          </c:spPr>
          <c:marker>
            <c:symbol val="none"/>
          </c:marker>
          <c:cat>
            <c:strRef>
              <c:f>'Marketing &amp; Revenue Pipeline'!$B$4:$Y$4</c:f>
              <c:strCache>
                <c:ptCount val="0"/>
              </c:strCache>
            </c:strRef>
          </c:cat>
          <c:val>
            <c:numRef>
              <c:f>'Cash Flow &amp; Runway'!$B$23:$Y$23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Acquisition Channel Mix</a:t>
            </a:r>
          </a:p>
        </c:rich>
      </c:tx>
      <c:overlay val="0"/>
    </c:title>
    <c:plotArea>
      <c:doughnutChart>
        <c:ser>
          <c:idx val="0"/>
          <c:order val="0"/>
          <c:tx>
            <c:v>Users</c:v>
          </c:tx>
          <c:cat>
            <c:strRef>
              <c:f>'Investor Dashboard'!$F$16:$F$18</c:f>
              <c:strCache>
                <c:ptCount val="0"/>
              </c:strCache>
            </c:strRef>
          </c:cat>
          <c:val>
            <c:numRef>
              <c:f>'Investor Dashboard'!$G$16:$G$18</c:f>
              <c:numCache>
                <c:formatCode>#,##0;[Red](#,##0);-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Funding Deployment by Category (INR lakh)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Allocation</c:v>
          </c:tx>
          <c:cat>
            <c:strRef>
              <c:f>'Investor Dashboard'!$J$16:$J$23</c:f>
              <c:strCache>
                <c:ptCount val="0"/>
              </c:strCache>
            </c:strRef>
          </c:cat>
          <c:val>
            <c:numRef>
              <c:f>'Investor Dashboard'!$K$16:$K$23</c:f>
              <c:numCache>
                <c:formatCode>#,##0.0;[Red](#,##0.0);-</c:formatCode>
                <c:ptCount val="0"/>
              </c:numCache>
            </c:numRef>
          </c:val>
        </c:ser>
        <c:ser>
          <c:idx val="1"/>
          <c:order val="1"/>
          <c:tx>
            <c:v>Actual</c:v>
          </c:tx>
          <c:cat>
            <c:strRef>
              <c:f>'Investor Dashboard'!$J$16:$J$23</c:f>
              <c:strCache>
                <c:ptCount val="0"/>
              </c:strCache>
            </c:strRef>
          </c:cat>
          <c:val>
            <c:numRef>
              <c:f>'Investor Dashboard'!$L$16:$L$23</c:f>
              <c:numCache>
                <c:formatCode>#,##0.0;[Red](#,##0.0);-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7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Gross Margin % and EBITDA (INR lakh)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Gross Margin %</c:v>
          </c:tx>
          <c:spPr>
            <a:solidFill xmlns:a="http://schemas.openxmlformats.org/drawingml/2006/main">
              <a:srgbClr val="156C8A"/>
            </a:solidFill>
          </c:spPr>
          <c:marker>
            <c:symbol val="none"/>
          </c:marker>
          <c:cat>
            <c:strRef>
              <c:f>'Marketing &amp; Revenue Pipeline'!$B$4:$Y$4</c:f>
              <c:strCache>
                <c:ptCount val="0"/>
              </c:strCache>
            </c:strRef>
          </c:cat>
          <c:val>
            <c:numRef>
              <c:f>'P&amp;L'!$B$12:$Y$12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EBITDA</c:v>
          </c:tx>
          <c:spPr>
            <a:solidFill xmlns:a="http://schemas.openxmlformats.org/drawingml/2006/main">
              <a:srgbClr val="F97316"/>
            </a:solidFill>
          </c:spPr>
          <c:marker>
            <c:symbol val="none"/>
          </c:marker>
          <c:cat>
            <c:strRef>
              <c:f>'Marketing &amp; Revenue Pipeline'!$B$4:$Y$4</c:f>
              <c:strCache>
                <c:ptCount val="0"/>
              </c:strCache>
            </c:strRef>
          </c:cat>
          <c:val>
            <c:numRef>
              <c:f>'P&amp;L'!$B$17:$Y$17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20</xdr:row>
      <xdr:rowOff>0</xdr:rowOff>
    </xdr:from>
    <xdr:to>
      <xdr:col>8</xdr:col>
      <xdr:colOff>0</xdr:colOff>
      <xdr:row>36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4c676502373481b"/>
        </a:graphicData>
      </a:graphic>
    </xdr:graphicFrame>
    <xdr:clientData/>
  </xdr:twoCellAnchor>
  <xdr:twoCellAnchor>
    <xdr:from>
      <xdr:col>8</xdr:col>
      <xdr:colOff>0</xdr:colOff>
      <xdr:row>24</xdr:row>
      <xdr:rowOff>0</xdr:rowOff>
    </xdr:from>
    <xdr:to>
      <xdr:col>16</xdr:col>
      <xdr:colOff>0</xdr:colOff>
      <xdr:row>40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a2e7986592a4621"/>
        </a:graphicData>
      </a:graphic>
    </xdr:graphicFrame>
    <xdr:clientData/>
  </xdr:twoCellAnchor>
  <xdr:twoCellAnchor>
    <xdr:from>
      <xdr:col>16</xdr:col>
      <xdr:colOff>0</xdr:colOff>
      <xdr:row>20</xdr:row>
      <xdr:rowOff>0</xdr:rowOff>
    </xdr:from>
    <xdr:to>
      <xdr:col>24</xdr:col>
      <xdr:colOff>0</xdr:colOff>
      <xdr:row>36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8c6ccf03499426f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8</xdr:col>
      <xdr:colOff>0</xdr:colOff>
      <xdr:row>53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9d018db511d4907"/>
        </a:graphicData>
      </a:graphic>
    </xdr:graphicFrame>
    <xdr:clientData/>
  </xdr:twoCellAnchor>
  <xdr:twoCellAnchor>
    <xdr:from>
      <xdr:col>8</xdr:col>
      <xdr:colOff>0</xdr:colOff>
      <xdr:row>41</xdr:row>
      <xdr:rowOff>0</xdr:rowOff>
    </xdr:from>
    <xdr:to>
      <xdr:col>16</xdr:col>
      <xdr:colOff>0</xdr:colOff>
      <xdr:row>57</xdr:row>
      <xdr:rowOff>0</xdr:rowOff>
    </xdr:to>
    <xdr:graphicFrame macro="">
      <xdr:nvGraphicFramePr>
        <xdr:cNvPr id="5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bfb36822f594f64"/>
        </a:graphicData>
      </a:graphic>
    </xdr:graphicFrame>
    <xdr:clientData/>
  </xdr:twoCellAnchor>
  <xdr:twoCellAnchor>
    <xdr:from>
      <xdr:col>16</xdr:col>
      <xdr:colOff>0</xdr:colOff>
      <xdr:row>37</xdr:row>
      <xdr:rowOff>0</xdr:rowOff>
    </xdr:from>
    <xdr:to>
      <xdr:col>24</xdr:col>
      <xdr:colOff>0</xdr:colOff>
      <xdr:row>53</xdr:row>
      <xdr:rowOff>0</xdr:rowOff>
    </xdr:to>
    <xdr:graphicFrame macro="">
      <xdr:nvGraphicFramePr>
        <xdr:cNvPr id="6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667e0f6d2ea4acd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8</xdr:col>
      <xdr:colOff>0</xdr:colOff>
      <xdr:row>70</xdr:row>
      <xdr:rowOff>0</xdr:rowOff>
    </xdr:to>
    <xdr:graphicFrame macro="">
      <xdr:nvGraphicFramePr>
        <xdr:cNvPr id="7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31c7d3491d6472c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User" id="{71331EFA-4400-4D25-B33F-77A1177BD1A5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5" dT="2026-09-02T08:02:19.408" personId="{71331EFA-4400-4D25-B33F-77A1177BD1A5}" id="{AC9FBC9E-4E08-4729-B8B7-AA55DF30F3B6}">
    <xltc:text>Source: Pasted EQ financial-model brief, 2026-09-02</xltc:text>
  </xltc:threadedComment>
  <xltc:threadedComment ref="C7" dT="2026-09-02T08:02:19.409" personId="{71331EFA-4400-4D25-B33F-77A1177BD1A5}" id="{0CC090E1-0AF5-407D-B431-0D7979481A6A}">
    <xltc:text>Source: Pasted EQ financial-model brief, 2026-09-02</xltc:text>
  </xltc:threadedComment>
  <xltc:threadedComment ref="C8" dT="2026-09-02T08:02:19.409" personId="{71331EFA-4400-4D25-B33F-77A1177BD1A5}" id="{5395D0D9-7845-4C99-A762-B2D55F13D218}">
    <xltc:text>Source: Pasted EQ financial-model brief, 2026-09-02</xltc:text>
  </xltc:threadedComment>
  <xltc:threadedComment ref="C12" dT="2026-09-02T08:02:19.409" personId="{71331EFA-4400-4D25-B33F-77A1177BD1A5}" id="{E0B4F29E-3487-4DED-AC7A-01F189F41CA6}">
    <xltc:text>Source: Pasted EQ financial-model brief, 2026-09-02</xltc:text>
  </xltc:threadedComment>
  <xltc:threadedComment ref="C18" dT="2026-09-02T08:02:19.409" personId="{71331EFA-4400-4D25-B33F-77A1177BD1A5}" id="{27B075AA-820A-4DDB-912B-9DEA6A13BE3E}">
    <xltc:text>Source: Pasted EQ financial-model brief, 2026-09-02</xltc:text>
  </xltc:threadedComment>
  <xltc:threadedComment ref="C24" dT="2026-09-02T08:02:19.409" personId="{71331EFA-4400-4D25-B33F-77A1177BD1A5}" id="{518EFF69-BC93-4471-A106-0C839BF5B36F}">
    <xltc:text>Source: Pasted EQ financial-model brief, 2026-09-02</xltc:text>
  </xltc:threadedComment>
  <xltc:threadedComment ref="C25" dT="2026-09-02T08:02:19.409" personId="{71331EFA-4400-4D25-B33F-77A1177BD1A5}" id="{5988E633-F1EE-4362-9E50-1C2FDD2B9D24}">
    <xltc:text>Source: Pasted EQ financial-model brief, 2026-09-02</xltc:text>
  </xltc:threadedComment>
  <xltc:threadedComment ref="C27" dT="2026-09-02T08:02:19.409" personId="{71331EFA-4400-4D25-B33F-77A1177BD1A5}" id="{CFDA9F7F-2209-4958-9F1B-EAB2CBDB2150}">
    <xltc:text>Source: Pasted EQ financial-model brief, 2026-09-02</xltc:text>
  </xltc:threadedComment>
  <xltc:threadedComment ref="C23" dT="2026-09-02T08:02:19.409" personId="{71331EFA-4400-4D25-B33F-77A1177BD1A5}" id="{D3E486C5-74B0-4EE3-9861-4ECD87766BF2}">
    <xltc:text>MODEL DEFAULT - VERIFY: brief did not specify this operating driver.</xltc:text>
  </xltc:threadedComment>
  <xltc:threadedComment ref="C27" dT="2026-09-02T08:02:19.409" personId="{71331EFA-4400-4D25-B33F-77A1177BD1A5}" id="{6E068E92-29A0-406C-B168-363319151A5F}">
    <xltc:text>MODEL DEFAULT - VERIFY: brief did not specify this operating driver.</xltc:text>
  </xltc:threadedComment>
  <xltc:threadedComment ref="C35" dT="2026-09-02T08:02:19.409" personId="{71331EFA-4400-4D25-B33F-77A1177BD1A5}" id="{4BC16158-4EF0-4445-B0DE-0C27F8E007FB}">
    <xltc:text>MODEL DEFAULT - VERIFY: brief did not specify this operating driver.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338795345c843f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713158b9eabf4624" /><Relationship Type="http://schemas.openxmlformats.org/officeDocument/2006/relationships/vmlDrawing" Target="/xl/drawings/vmldrawing.vml" Id="R0a9165df7b4d4c77" /><Relationship Type="http://schemas.microsoft.com/office/2017/10/relationships/threadedComment" Target="/xl/threadedcomments/threadedcomment.xml" Id="Rc61313cd84dd4f3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8.25" hidden="0" customWidth="1"/>
    <x:col min="3" max="3" width="28" hidden="0" customWidth="1"/>
    <x:col min="4" max="4" width="26.5" hidden="0" customWidth="1"/>
    <x:col min="6" max="6" width="13" hidden="0" customWidth="1"/>
    <x:col min="7" max="7" width="4.75" hidden="0" customWidth="1"/>
    <x:col min="8" max="8" width="5.130000114440918" hidden="0" customWidth="1"/>
    <x:col min="10" max="10" width="13.880000114440918" hidden="0" customWidth="1"/>
    <x:col min="11" max="11" width="8.25" hidden="0" customWidth="1"/>
    <x:col min="12" max="12" width="5.380000114440918" hidden="0" customWidth="1"/>
    <x:col min="14" max="14" width="1.25" hidden="0" customWidth="1"/>
    <x:col min="15" max="15" width="1.5" hidden="0" customWidth="1"/>
    <x:col min="16" max="16" width="1.5" hidden="0" customWidth="1"/>
    <x:col min="17" max="17" width="1.5" hidden="0" customWidth="1"/>
    <x:col min="18" max="18" width="1.5" hidden="0" customWidth="1"/>
    <x:col min="19" max="19" width="1.5" hidden="0" customWidth="1"/>
    <x:col min="20" max="20" width="1.5" hidden="0" customWidth="1"/>
    <x:col min="21" max="21" width="1.5" hidden="0" customWidth="1"/>
    <x:col min="22" max="22" width="1.5" hidden="0" customWidth="1"/>
    <x:col min="23" max="23" width="1.5" hidden="0" customWidth="1"/>
    <x:col min="24" max="24" width="1.5" hidden="0" customWidth="1"/>
    <x:col min="25" max="25" width="1.5" hidden="0" customWidth="1"/>
    <x:col min="26" max="26" width="1.5" hidden="0" customWidth="1"/>
    <x:col min="27" max="27" width="1.5" hidden="0" customWidth="1"/>
    <x:col min="28" max="28" width="1.5" hidden="0" customWidth="1"/>
    <x:col min="29" max="29" width="1.5" hidden="0" customWidth="1"/>
    <x:col min="30" max="30" width="1.5" hidden="0" customWidth="1"/>
    <x:col min="31" max="31" width="1.5" hidden="0" customWidth="1"/>
    <x:col min="32" max="32" width="1.5" hidden="0" customWidth="1"/>
    <x:col min="33" max="33" width="1.5" hidden="0" customWidth="1"/>
    <x:col min="34" max="34" width="1.5" hidden="0" customWidth="1"/>
    <x:col min="35" max="35" width="1.5" hidden="0" customWidth="1"/>
    <x:col min="36" max="36" width="1.5" hidden="0" customWidth="1"/>
    <x:col min="37" max="37" width="1.5" hidden="0" customWidth="1"/>
  </x:cols>
  <x:sheetData>
    <x:row r="1" ht="19.200000762939453" hidden="0" customHeight="1">
      <x:c r="A1" s="2" t="str">
        <x:v>EQ Investor Dashboard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15" hidden="0" customHeight="1">
      <x:c r="A2" s="4" t="str">
        <x:v>Base Case: INR 10 crore seed funding to 15,000 registered users, monetisation and cash runway.</x:v>
      </x:c>
    </x:row>
    <x:row r="3"/>
    <x:row r="4" ht="15" hidden="0" customHeight="1">
      <x:c r="A4" s="10" t="str">
        <x:v>Metric</x:v>
      </x:c>
      <x:c r="B4" s="11" t="str">
        <x:v>Value</x:v>
      </x:c>
      <x:c r="C4" s="11" t="str">
        <x:v>Metric</x:v>
      </x:c>
      <x:c r="D4" s="12" t="str">
        <x:v>Value</x:v>
      </x:c>
    </x:row>
    <x:row r="5" ht="15" hidden="0" customHeight="1">
      <x:c r="A5" s="15" t="str">
        <x:v>Seed Funding Ask</x:v>
      </x:c>
      <x:c r="B5" s="83" t="str">
        <x:f>TEXT('Assumptions'!$C$5/100,"0.0")&amp;" crore"</x:f>
        <x:v>10.0 crore</x:v>
      </x:c>
      <x:c r="C5" s="16" t="str">
        <x:v>Forecast Period</x:v>
      </x:c>
      <x:c r="D5" s="86" t="str">
        <x:f>'Assumptions'!$C$6&amp;" months"</x:f>
        <x:v>24 months</x:v>
      </x:c>
    </x:row>
    <x:row r="6" ht="15" hidden="0" customHeight="1">
      <x:c r="A6" s="19" t="str">
        <x:v>Registered Users M24</x:v>
      </x:c>
      <x:c r="B6" s="89" t="n">
        <x:f>'Marketing &amp; Revenue Pipeline'!Y21</x:f>
        <x:v>15000</x:v>
      </x:c>
      <x:c r="C6" s="20" t="str">
        <x:v>Active Users M24</x:v>
      </x:c>
      <x:c r="D6" s="90" t="n">
        <x:f>'Marketing &amp; Revenue Pipeline'!Y36</x:f>
        <x:v>8250</x:v>
      </x:c>
    </x:row>
    <x:row r="7" ht="15" hidden="0" customHeight="1">
      <x:c r="A7" s="19" t="str">
        <x:v>Paying Subscribers M24</x:v>
      </x:c>
      <x:c r="B7" s="89" t="n">
        <x:f>'Marketing &amp; Revenue Pipeline'!Y41</x:f>
        <x:v>986.4</x:v>
      </x:c>
      <x:c r="C7" s="20" t="str">
        <x:v>MRR M24</x:v>
      </x:c>
      <x:c r="D7" s="90" t="n">
        <x:f>'Marketing &amp; Revenue Pipeline'!Y48</x:f>
        <x:v>4.80562034057971</x:v>
      </x:c>
    </x:row>
    <x:row r="8" ht="15" hidden="0" customHeight="1">
      <x:c r="A8" s="19" t="str">
        <x:v>ARR Run Rate M24</x:v>
      </x:c>
      <x:c r="B8" s="91" t="n">
        <x:f>'Marketing &amp; Revenue Pipeline'!Y49</x:f>
        <x:v>57.66744408695652</x:v>
      </x:c>
      <x:c r="C8" s="20" t="str">
        <x:v>Revenue - Year 1</x:v>
      </x:c>
      <x:c r="D8" s="92" t="n">
        <x:f>'P&amp;L'!Z9</x:f>
        <x:v>6.146402772506233</x:v>
      </x:c>
    </x:row>
    <x:row r="9" ht="15" hidden="0" customHeight="1">
      <x:c r="A9" s="19" t="str">
        <x:v>Revenue - Year 2</x:v>
      </x:c>
      <x:c r="B9" s="91" t="n">
        <x:f>'P&amp;L'!AA9</x:f>
        <x:v>36.84587147708145</x:v>
      </x:c>
      <x:c r="C9" s="20" t="str">
        <x:v>Gross Margin - M24</x:v>
      </x:c>
      <x:c r="D9" s="93" t="n">
        <x:f>'P&amp;L'!Y12</x:f>
        <x:v>0.005615229313049239</x:v>
      </x:c>
    </x:row>
    <x:row r="10" ht="15" hidden="0" customHeight="1">
      <x:c r="A10" s="19" t="str">
        <x:v>EBITDA - M24</x:v>
      </x:c>
      <x:c r="B10" s="91" t="n">
        <x:f>'P&amp;L'!Y17</x:f>
        <x:v>-32.60981913461956</x:v>
      </x:c>
      <x:c r="C10" s="20" t="str">
        <x:v>Cumulative Cash Burn</x:v>
      </x:c>
      <x:c r="D10" s="92" t="n">
        <x:f>'Cash Flow &amp; Runway'!Y25</x:f>
        <x:v>519.5526154240263</x:v>
      </x:c>
    </x:row>
    <x:row r="11" ht="15" hidden="0" customHeight="1">
      <x:c r="A11" s="19" t="str">
        <x:v>Closing Cash - M24</x:v>
      </x:c>
      <x:c r="B11" s="91" t="n">
        <x:f>'Cash Flow &amp; Runway'!Y23</x:f>
        <x:v>480.4473845759737</x:v>
      </x:c>
      <x:c r="C11" s="20" t="str">
        <x:v>Estimated Runway</x:v>
      </x:c>
      <x:c r="D11" s="92" t="n">
        <x:f>'Cash Flow &amp; Runway'!Y28</x:f>
        <x:v>19.390864191582732</x:v>
      </x:c>
    </x:row>
    <x:row r="12" ht="15" hidden="0" customHeight="1">
      <x:c r="A12" s="19" t="str">
        <x:v>Cumulative GTM Spend</x:v>
      </x:c>
      <x:c r="B12" s="84" t="n">
        <x:f>'Marketing &amp; Revenue Pipeline'!Y28</x:f>
        <x:v>71.8125</x:v>
      </x:c>
      <x:c r="C12" s="20" t="str">
        <x:v>Blended CAC</x:v>
      </x:c>
      <x:c r="D12" s="87" t="n">
        <x:f>SUM('Marketing &amp; Revenue Pipeline'!B27:Y27)*100000/SUM('Marketing &amp; Revenue Pipeline'!B20:Y20)</x:f>
        <x:v>478.75</x:v>
      </x:c>
    </x:row>
    <x:row r="13" ht="15" hidden="0" customHeight="1">
      <x:c r="A13" s="23" t="str">
        <x:v>Analysts Onboarded</x:v>
      </x:c>
      <x:c r="B13" s="85" t="n">
        <x:f>'Marketing &amp; Revenue Pipeline'!Y10</x:f>
        <x:v>90</x:v>
      </x:c>
      <x:c r="C13" s="24" t="str">
        <x:v>Model Status</x:v>
      </x:c>
      <x:c r="D13" s="88" t="str">
        <x:f>'Model Checks'!F32</x:f>
        <x:v>PASS</x:v>
      </x:c>
    </x:row>
    <x:row r="14"/>
    <x:row r="15" ht="15" hidden="0" customHeight="1">
      <x:c r="A15" s="10" t="str">
        <x:v>Acquisition Contribution</x:v>
      </x:c>
      <x:c r="B15" s="11" t="str">
        <x:v>Users</x:v>
      </x:c>
      <x:c r="C15" s="11" t="str">
        <x:v>Share</x:v>
      </x:c>
      <x:c r="D15" s="12" t="str">
        <x:v>Notes</x:v>
      </x:c>
      <x:c r="F15" s="10" t="str">
        <x:v>Channel</x:v>
      </x:c>
      <x:c r="G15" s="11" t="str">
        <x:v>Users</x:v>
      </x:c>
      <x:c r="H15" s="12" t="str">
        <x:v>Share</x:v>
      </x:c>
      <x:c r="J15" s="10" t="str">
        <x:v>Funding Category</x:v>
      </x:c>
      <x:c r="K15" s="11" t="str">
        <x:v>Allocation</x:v>
      </x:c>
      <x:c r="L15" s="12" t="str">
        <x:v>Actual</x:v>
      </x:c>
    </x:row>
    <x:row r="16" ht="15" hidden="0" customHeight="1">
      <x:c r="A16" t="str">
        <x:v>Analyst/B2B2C</x:v>
      </x:c>
      <x:c r="B16" s="81" t="n">
        <x:f>'Marketing &amp; Revenue Pipeline'!Y13</x:f>
        <x:v>7120</x:v>
      </x:c>
      <x:c r="C16" s="76" t="n">
        <x:f>B16/SUM($B$16:$B$18)</x:f>
        <x:v>0.4746666666666667</x:v>
      </x:c>
      <x:c r="D16" t="str">
        <x:v>Cohort-based realised registrations</x:v>
      </x:c>
      <x:c r="F16" t="str">
        <x:v>Analyst/B2B2C</x:v>
      </x:c>
      <x:c r="G16" s="81" t="n">
        <x:f>B16</x:f>
        <x:v>7120</x:v>
      </x:c>
      <x:c r="H16" s="76" t="n">
        <x:f>C16</x:f>
        <x:v>0.4746666666666667</x:v>
      </x:c>
      <x:c r="J16" t="str">
        <x:v>Product/Tech</x:v>
      </x:c>
      <x:c r="K16" s="74" t="n">
        <x:f>'Funding Ask &amp; Deployment'!B5</x:f>
        <x:v>225</x:v>
      </x:c>
      <x:c r="L16" s="74" t="n">
        <x:f>'Funding Ask &amp; Deployment'!C5</x:f>
        <x:v>127.49999999999997</x:v>
      </x:c>
    </x:row>
    <x:row r="17" ht="15" hidden="0" customHeight="1">
      <x:c r="A17" t="str">
        <x:v>Direct Marketing</x:v>
      </x:c>
      <x:c r="B17" s="81" t="n">
        <x:f>SUM('Marketing &amp; Revenue Pipeline'!B18:Y18)</x:f>
        <x:v>6880</x:v>
      </x:c>
      <x:c r="C17" s="76" t="n">
        <x:f>B17/SUM($B$16:$B$18)</x:f>
        <x:v>0.45866666666666667</x:v>
      </x:c>
      <x:c r="D17" t="str">
        <x:v>Balancing channel</x:v>
      </x:c>
      <x:c r="F17" t="str">
        <x:v>Direct Marketing</x:v>
      </x:c>
      <x:c r="G17" s="81" t="n">
        <x:f>B17</x:f>
        <x:v>6880</x:v>
      </x:c>
      <x:c r="H17" s="76" t="n">
        <x:f>C17</x:f>
        <x:v>0.45866666666666667</x:v>
      </x:c>
      <x:c r="J17" t="str">
        <x:v>AI/Data</x:v>
      </x:c>
      <x:c r="K17" s="74" t="n">
        <x:f>'Funding Ask &amp; Deployment'!B6</x:f>
        <x:v>125</x:v>
      </x:c>
      <x:c r="L17" s="74" t="n">
        <x:f>'Funding Ask &amp; Deployment'!C6</x:f>
        <x:v>89.99999999999999</x:v>
      </x:c>
    </x:row>
    <x:row r="18" ht="15" hidden="0" customHeight="1">
      <x:c r="A18" t="str">
        <x:v>Organic</x:v>
      </x:c>
      <x:c r="B18" s="81" t="n">
        <x:f>SUM('Marketing &amp; Revenue Pipeline'!B19:Y19)</x:f>
        <x:v>1000</x:v>
      </x:c>
      <x:c r="C18" s="76" t="n">
        <x:f>B18/SUM($B$16:$B$18)</x:f>
        <x:v>0.06666666666666667</x:v>
      </x:c>
      <x:c r="D18" t="str">
        <x:v>10% from M13 onwards</x:v>
      </x:c>
      <x:c r="F18" t="str">
        <x:v>Organic</x:v>
      </x:c>
      <x:c r="G18" s="81" t="n">
        <x:f>B18</x:f>
        <x:v>1000</x:v>
      </x:c>
      <x:c r="H18" s="76" t="n">
        <x:f>C18</x:f>
        <x:v>0.06666666666666667</x:v>
      </x:c>
      <x:c r="J18" t="str">
        <x:v>Security/QA</x:v>
      </x:c>
      <x:c r="K18" s="74" t="n">
        <x:f>'Funding Ask &amp; Deployment'!B7</x:f>
        <x:v>40</x:v>
      </x:c>
      <x:c r="L18" s="74" t="n">
        <x:f>'Funding Ask &amp; Deployment'!C7</x:f>
        <x:v>40</x:v>
      </x:c>
    </x:row>
    <x:row r="19" ht="15" hidden="0" customHeight="1">
      <x:c r="J19" t="str">
        <x:v>Compliance</x:v>
      </x:c>
      <x:c r="K19" s="74" t="n">
        <x:f>'Funding Ask &amp; Deployment'!B8</x:f>
        <x:v>60</x:v>
      </x:c>
      <x:c r="L19" s="74" t="n">
        <x:f>'Funding Ask &amp; Deployment'!C8</x:f>
        <x:v>60.40000000000003</x:v>
      </x:c>
    </x:row>
    <x:row r="20" ht="15" hidden="0" customHeight="1">
      <x:c r="J20" t="str">
        <x:v>GTM</x:v>
      </x:c>
      <x:c r="K20" s="74" t="n">
        <x:f>'Funding Ask &amp; Deployment'!B9</x:f>
        <x:v>300</x:v>
      </x:c>
      <x:c r="L20" s="74" t="n">
        <x:f>'Funding Ask &amp; Deployment'!C9</x:f>
        <x:v>71.8125</x:v>
      </x:c>
    </x:row>
    <x:row r="21" ht="15" hidden="0" customHeight="1">
      <x:c r="J21" t="str">
        <x:v>Ops</x:v>
      </x:c>
      <x:c r="K21" s="74" t="n">
        <x:f>'Funding Ask &amp; Deployment'!B10</x:f>
        <x:v>90</x:v>
      </x:c>
      <x:c r="L21" s="74" t="n">
        <x:f>'Funding Ask &amp; Deployment'!C10</x:f>
        <x:v>90</x:v>
      </x:c>
    </x:row>
    <x:row r="22" ht="15" hidden="0" customHeight="1">
      <x:c r="J22" t="str">
        <x:v>G&amp;A</x:v>
      </x:c>
      <x:c r="K22" s="74" t="n">
        <x:f>'Funding Ask &amp; Deployment'!B11</x:f>
        <x:v>60</x:v>
      </x:c>
      <x:c r="L22" s="74" t="n">
        <x:f>'Funding Ask &amp; Deployment'!C11</x:f>
        <x:v>60</x:v>
      </x:c>
    </x:row>
    <x:row r="23" ht="15" hidden="0" customHeight="1">
      <x:c r="J23" t="str">
        <x:v>Cash Cushion</x:v>
      </x:c>
      <x:c r="K23" s="74" t="n">
        <x:f>'Funding Ask &amp; Deployment'!B12</x:f>
        <x:v>100</x:v>
      </x:c>
      <x:c r="L23" s="74" t="n">
        <x:f>'Funding Ask &amp; Deployment'!C12</x:f>
        <x:v>480.4473845759737</x:v>
      </x:c>
    </x:row>
    <x:row r="24"/>
    <x:row r="25"/>
    <x:row r="26"/>
    <x:row r="27"/>
    <x:row r="28"/>
    <x:row r="29"/>
    <x:row r="30"/>
    <x:row r="31"/>
    <x:row r="32"/>
    <x:row r="33"/>
    <x:row r="34"/>
    <x:row r="35"/>
    <x:row r="36"/>
    <x:row r="37"/>
    <x:row r="38"/>
    <x:row r="39"/>
    <x:row r="40"/>
    <x:row r="41"/>
    <x:row r="42"/>
    <x:row r="43"/>
    <x:row r="44"/>
    <x:row r="45"/>
    <x:row r="46"/>
    <x:row r="47"/>
    <x:row r="48"/>
    <x:row r="49"/>
    <x:row r="50"/>
    <x:row r="51"/>
    <x:row r="52"/>
    <x:row r="53"/>
    <x:row r="54"/>
    <x:row r="55"/>
    <x:row r="56"/>
    <x:row r="57"/>
    <x:row r="58"/>
    <x:row r="59"/>
    <x:row r="60"/>
    <x:row r="61"/>
    <x:row r="62"/>
    <x:row r="63"/>
    <x:row r="64"/>
    <x:row r="65"/>
    <x:row r="66"/>
    <x:row r="67"/>
    <x:row r="68"/>
    <x:row r="69"/>
    <x:row r="70"/>
    <x:row r="71"/>
    <x:row r="72"/>
    <x:row r="73"/>
    <x:row r="74"/>
    <x:row r="75"/>
    <x:row r="76"/>
    <x:row r="77"/>
    <x:row r="78"/>
    <x:row r="79"/>
    <x:row r="80" ht="15" hidden="0" customHeight="1">
      <x:c r="N80" s="95" t="n">
        <x:f>SUM('Marketing &amp; Revenue Pipeline'!$B$47:B$47)</x:f>
        <x:v>0.0116898</x:v>
      </x:c>
      <x:c r="O80" s="95" t="n">
        <x:f>SUM('Marketing &amp; Revenue Pipeline'!$B$47:C$47)</x:f>
        <x:v>0.061909471017232404</x:v>
      </x:c>
      <x:c r="P80" s="95" t="n">
        <x:f>SUM('Marketing &amp; Revenue Pipeline'!$B$47:D$47)</x:f>
        <x:v>0.17772075229719736</x:v>
      </x:c>
      <x:c r="Q80" s="95" t="n">
        <x:f>SUM('Marketing &amp; Revenue Pipeline'!$B$47:E$47)</x:f>
        <x:v>0.37599422434453855</x:v>
      </x:c>
      <x:c r="R80" s="95" t="n">
        <x:f>SUM('Marketing &amp; Revenue Pipeline'!$B$47:F$47)</x:f>
        <x:v>0.6697615453275253</x:v>
      </x:c>
      <x:c r="S80" s="95" t="n">
        <x:f>SUM('Marketing &amp; Revenue Pipeline'!$B$47:G$47)</x:f>
        <x:v>1.072370444631654</x:v>
      </x:c>
      <x:c r="T80" s="95" t="n">
        <x:f>SUM('Marketing &amp; Revenue Pipeline'!$B$47:H$47)</x:f>
        <x:v>1.5915551244623436</x:v>
      </x:c>
      <x:c r="U80" s="95" t="n">
        <x:f>SUM('Marketing &amp; Revenue Pipeline'!$B$47:I$47)</x:f>
        <x:v>2.2321865888331827</x:v>
      </x:c>
      <x:c r="V80" s="95" t="n">
        <x:f>SUM('Marketing &amp; Revenue Pipeline'!$B$47:J$47)</x:f>
        <x:v>3.000563972151448</x:v>
      </x:c>
      <x:c r="W80" s="95" t="n">
        <x:f>SUM('Marketing &amp; Revenue Pipeline'!$B$47:K$47)</x:f>
        <x:v>3.9044371433933316</x:v>
      </x:c>
      <x:c r="X80" s="95" t="n">
        <x:f>SUM('Marketing &amp; Revenue Pipeline'!$B$47:L$47)</x:f>
        <x:v>4.95042898744555</x:v>
      </x:c>
      <x:c r="Y80" s="95" t="n">
        <x:f>SUM('Marketing &amp; Revenue Pipeline'!$B$47:M$47)</x:f>
        <x:v>6.146402772506233</x:v>
      </x:c>
      <x:c r="Z80" s="95" t="n">
        <x:f>SUM('Marketing &amp; Revenue Pipeline'!$B$47:N$47)</x:f>
        <x:v>7.516023658673736</x:v>
      </x:c>
      <x:c r="AA80" s="95" t="n">
        <x:f>SUM('Marketing &amp; Revenue Pipeline'!$B$47:O$47)</x:f>
        <x:v>9.095298784040164</x:v>
      </x:c>
      <x:c r="AB80" s="95" t="n">
        <x:f>SUM('Marketing &amp; Revenue Pipeline'!$B$47:P$47)</x:f>
        <x:v>10.916411311806527</x:v>
      </x:c>
      <x:c r="AC80" s="95" t="n">
        <x:f>SUM('Marketing &amp; Revenue Pipeline'!$B$47:Q$47)</x:f>
        <x:v>13.009398256986112</x:v>
      </x:c>
      <x:c r="AD80" s="95" t="n">
        <x:f>SUM('Marketing &amp; Revenue Pipeline'!$B$47:R$47)</x:f>
        <x:v>15.415528106469687</x:v>
      </x:c>
      <x:c r="AE80" s="95" t="n">
        <x:f>SUM('Marketing &amp; Revenue Pipeline'!$B$47:S$47)</x:f>
        <x:v>18.17936951563656</x:v>
      </x:c>
      <x:c r="AF80" s="95" t="n">
        <x:f>SUM('Marketing &amp; Revenue Pipeline'!$B$47:T$47)</x:f>
        <x:v>21.290606956723103</x:v>
      </x:c>
      <x:c r="AG80" s="95" t="n">
        <x:f>SUM('Marketing &amp; Revenue Pipeline'!$B$47:U$47)</x:f>
        <x:v>24.74937757502397</x:v>
      </x:c>
      <x:c r="AH80" s="95" t="n">
        <x:f>SUM('Marketing &amp; Revenue Pipeline'!$B$47:V$47)</x:f>
        <x:v>28.608007843564558</x:v>
      </x:c>
      <x:c r="AI80" s="95" t="n">
        <x:f>SUM('Marketing &amp; Revenue Pipeline'!$B$47:W$47)</x:f>
        <x:v>32.90954111487219</x:v>
      </x:c>
      <x:c r="AJ80" s="95" t="n">
        <x:f>SUM('Marketing &amp; Revenue Pipeline'!$B$47:X$47)</x:f>
        <x:v>37.69165390900797</x:v>
      </x:c>
      <x:c r="AK80" s="95" t="n">
        <x:f>SUM('Marketing &amp; Revenue Pipeline'!$B$47:Y$47)</x:f>
        <x:v>42.99227424958768</x:v>
      </x:c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4338795345c843f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9.25" hidden="0" customWidth="1"/>
    <x:col min="3" max="3" width="19.25" hidden="0" customWidth="1"/>
    <x:col min="4" max="4" width="19.6299991607666" hidden="0" customWidth="1"/>
    <x:col min="5" max="5" width="54" hidden="0" customWidth="1"/>
  </x:cols>
  <x:sheetData>
    <x:row r="1" ht="19.200000762939453" hidden="0" customHeight="1">
      <x:c r="A1" s="2" t="str">
        <x:v>EQ Base Case Assumptions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15" hidden="0" customHeight="1">
      <x:c r="A2" s="4" t="str">
        <x:v>All major inputs originate here. Items marked MODEL DEFAULT - VERIFY are conservative defaults inserted where the brief was silent.</x:v>
      </x:c>
    </x:row>
    <x:row r="3"/>
    <x:row r="4" ht="15" hidden="0" customHeight="1">
      <x:c r="A4" s="10" t="str">
        <x:v>Assumption</x:v>
      </x:c>
      <x:c r="B4" s="11" t="str">
        <x:v>Unit</x:v>
      </x:c>
      <x:c r="C4" s="11" t="str">
        <x:v>Base Case</x:v>
      </x:c>
      <x:c r="D4" s="11" t="str">
        <x:v>Source/Status</x:v>
      </x:c>
      <x:c r="E4" s="12" t="str">
        <x:v>Notes</x:v>
      </x:c>
    </x:row>
    <x:row r="5" ht="15" hidden="0" customHeight="1">
      <x:c r="A5" s="27" t="str">
        <x:v>Seed equity funding</x:v>
      </x:c>
      <x:c r="B5" s="28" t="str">
        <x:v>INR lakh</x:v>
      </x:c>
      <x:c r="C5" s="39" t="n">
        <x:v>1000</x:v>
      </x:c>
      <x:c r="D5" s="28" t="str">
        <x:v>Source assumption</x:v>
      </x:c>
      <x:c r="E5" s="30" t="str">
        <x:v>INR 10.0 crore received in M1.</x:v>
      </x:c>
    </x:row>
    <x:row r="6" ht="15" hidden="0" customHeight="1">
      <x:c r="A6" s="31" t="str">
        <x:v>Forecast period</x:v>
      </x:c>
      <x:c r="B6" s="32" t="str">
        <x:v>months</x:v>
      </x:c>
      <x:c r="C6" s="40" t="n">
        <x:v>24</x:v>
      </x:c>
      <x:c r="D6" s="32" t="str">
        <x:v>Source assumption</x:v>
      </x:c>
      <x:c r="E6" s="34" t="str">
        <x:v>M1-M24.</x:v>
      </x:c>
    </x:row>
    <x:row r="7" ht="15" hidden="0" customHeight="1">
      <x:c r="A7" s="31" t="str">
        <x:v>GTM reference budget</x:v>
      </x:c>
      <x:c r="B7" s="32" t="str">
        <x:v>INR lakh</x:v>
      </x:c>
      <x:c r="C7" s="40" t="n">
        <x:v>300</x:v>
      </x:c>
      <x:c r="D7" s="32" t="str">
        <x:v>Source assumption</x:v>
      </x:c>
      <x:c r="E7" s="34" t="str">
        <x:v>Funding envelope, not forced spend.</x:v>
      </x:c>
    </x:row>
    <x:row r="8" ht="15" hidden="0" customHeight="1">
      <x:c r="A8" s="31" t="str">
        <x:v>M24 registered user target</x:v>
      </x:c>
      <x:c r="B8" s="32" t="str">
        <x:v>users</x:v>
      </x:c>
      <x:c r="C8" s="40" t="n">
        <x:v>15000</x:v>
      </x:c>
      <x:c r="D8" s="32" t="str">
        <x:v>Source assumption</x:v>
      </x:c>
      <x:c r="E8" s="34" t="str">
        <x:v>Monthly target ramp stored below.</x:v>
      </x:c>
    </x:row>
    <x:row r="9" ht="15" hidden="0" customHeight="1">
      <x:c r="A9" s="31" t="str">
        <x:v>Analysts M1-M3</x:v>
      </x:c>
      <x:c r="B9" s="32" t="str">
        <x:v>analysts/month</x:v>
      </x:c>
      <x:c r="C9" s="40" t="n">
        <x:v>3</x:v>
      </x:c>
      <x:c r="D9" s="32" t="str">
        <x:v>Source assumption</x:v>
      </x:c>
      <x:c r="E9" s="34" t="str">
        <x:v>New analysts onboarded monthly.</x:v>
      </x:c>
    </x:row>
    <x:row r="10" ht="15" hidden="0" customHeight="1">
      <x:c r="A10" s="31" t="str">
        <x:v>Analysts M4-M18</x:v>
      </x:c>
      <x:c r="B10" s="32" t="str">
        <x:v>analysts/month</x:v>
      </x:c>
      <x:c r="C10" s="40" t="n">
        <x:v>5</x:v>
      </x:c>
      <x:c r="D10" s="32" t="str">
        <x:v>Source assumption</x:v>
      </x:c>
      <x:c r="E10" s="34" t="str">
        <x:v>New analysts onboarded monthly.</x:v>
      </x:c>
    </x:row>
    <x:row r="11" ht="15" hidden="0" customHeight="1">
      <x:c r="A11" s="31" t="str">
        <x:v>Analysts M19-M24</x:v>
      </x:c>
      <x:c r="B11" s="32" t="str">
        <x:v>analysts/month</x:v>
      </x:c>
      <x:c r="C11" s="40" t="n">
        <x:v>1</x:v>
      </x:c>
      <x:c r="D11" s="32" t="str">
        <x:v>Source assumption</x:v>
      </x:c>
      <x:c r="E11" s="34" t="str">
        <x:v>New analysts onboarded monthly.</x:v>
      </x:c>
    </x:row>
    <x:row r="12" ht="15" hidden="0" customHeight="1">
      <x:c r="A12" s="31" t="str">
        <x:v>Clients per analyst</x:v>
      </x:c>
      <x:c r="B12" s="32" t="str">
        <x:v>clients</x:v>
      </x:c>
      <x:c r="C12" s="40" t="n">
        <x:v>200</x:v>
      </x:c>
      <x:c r="D12" s="32" t="str">
        <x:v>Source assumption</x:v>
      </x:c>
      <x:c r="E12" s="34" t="str">
        <x:v>B2B2C reach per analyst.</x:v>
      </x:c>
    </x:row>
    <x:row r="13" ht="15" hidden="0" customHeight="1">
      <x:c r="A13" s="31" t="str">
        <x:v>Analyst client registration conversion</x:v>
      </x:c>
      <x:c r="B13" s="32" t="str">
        <x:v>%</x:v>
      </x:c>
      <x:c r="C13" s="42" t="n">
        <x:v>0.4</x:v>
      </x:c>
      <x:c r="D13" s="32" t="str">
        <x:v>Source assumption</x:v>
      </x:c>
      <x:c r="E13" s="34" t="str">
        <x:v>Mature potential = 80 registrations per analyst.</x:v>
      </x:c>
    </x:row>
    <x:row r="14" ht="15" hidden="0" customHeight="1">
      <x:c r="A14" s="31" t="str">
        <x:v>Analyst month 0 cohort registration</x:v>
      </x:c>
      <x:c r="B14" s="32" t="str">
        <x:v>%</x:v>
      </x:c>
      <x:c r="C14" s="42" t="n">
        <x:v>0.3</x:v>
      </x:c>
      <x:c r="D14" s="32" t="str">
        <x:v>Source assumption</x:v>
      </x:c>
      <x:c r="E14" s="34" t="str">
        <x:v>Onboarding month.</x:v>
      </x:c>
    </x:row>
    <x:row r="15" ht="15" hidden="0" customHeight="1">
      <x:c r="A15" s="31" t="str">
        <x:v>Analyst month 1 cohort registration</x:v>
      </x:c>
      <x:c r="B15" s="32" t="str">
        <x:v>%</x:v>
      </x:c>
      <x:c r="C15" s="42" t="n">
        <x:v>0.4</x:v>
      </x:c>
      <x:c r="D15" s="32" t="str">
        <x:v>Source assumption</x:v>
      </x:c>
      <x:c r="E15" s="34" t="str">
        <x:v>Following month.</x:v>
      </x:c>
    </x:row>
    <x:row r="16" ht="15" hidden="0" customHeight="1">
      <x:c r="A16" s="31" t="str">
        <x:v>Analyst month 2 cohort registration</x:v>
      </x:c>
      <x:c r="B16" s="32" t="str">
        <x:v>%</x:v>
      </x:c>
      <x:c r="C16" s="42" t="n">
        <x:v>0.3</x:v>
      </x:c>
      <x:c r="D16" s="32" t="str">
        <x:v>Source assumption</x:v>
      </x:c>
      <x:c r="E16" s="34" t="str">
        <x:v>Second following month.</x:v>
      </x:c>
    </x:row>
    <x:row r="17" ht="15" hidden="0" customHeight="1">
      <x:c r="A17" s="31" t="str">
        <x:v>Analyst-channel paid conversion benchmark</x:v>
      </x:c>
      <x:c r="B17" s="32" t="str">
        <x:v>%</x:v>
      </x:c>
      <x:c r="C17" s="42" t="n">
        <x:v>0.05</x:v>
      </x:c>
      <x:c r="D17" s="32" t="str">
        <x:v>Source assumption</x:v>
      </x:c>
      <x:c r="E17" s="34" t="str">
        <x:v>Used inside subscriber funnel, not added separately.</x:v>
      </x:c>
    </x:row>
    <x:row r="18" ht="15" hidden="0" customHeight="1">
      <x:c r="A18" s="31" t="str">
        <x:v>Direct CAC M1-M6</x:v>
      </x:c>
      <x:c r="B18" s="32" t="str">
        <x:v>INR/user</x:v>
      </x:c>
      <x:c r="C18" s="40" t="n">
        <x:v>1500</x:v>
      </x:c>
      <x:c r="D18" s="32" t="str">
        <x:v>Source assumption</x:v>
      </x:c>
      <x:c r="E18" s="34" t="str">
        <x:v>Direct performance marketing CAC.</x:v>
      </x:c>
    </x:row>
    <x:row r="19" ht="15" hidden="0" customHeight="1">
      <x:c r="A19" s="31" t="str">
        <x:v>Direct CAC M7-M12</x:v>
      </x:c>
      <x:c r="B19" s="32" t="str">
        <x:v>INR/user</x:v>
      </x:c>
      <x:c r="C19" s="40" t="n">
        <x:v>1250</x:v>
      </x:c>
      <x:c r="D19" s="32" t="str">
        <x:v>Source assumption</x:v>
      </x:c>
      <x:c r="E19" s="34" t="str">
        <x:v>Direct performance marketing CAC.</x:v>
      </x:c>
    </x:row>
    <x:row r="20" ht="15" hidden="0" customHeight="1">
      <x:c r="A20" s="31" t="str">
        <x:v>Direct CAC M13-M18</x:v>
      </x:c>
      <x:c r="B20" s="32" t="str">
        <x:v>INR/user</x:v>
      </x:c>
      <x:c r="C20" s="40" t="n">
        <x:v>1000</x:v>
      </x:c>
      <x:c r="D20" s="32" t="str">
        <x:v>Source assumption</x:v>
      </x:c>
      <x:c r="E20" s="34" t="str">
        <x:v>Direct performance marketing CAC.</x:v>
      </x:c>
    </x:row>
    <x:row r="21" ht="15" hidden="0" customHeight="1">
      <x:c r="A21" s="31" t="str">
        <x:v>Direct CAC M19-M24</x:v>
      </x:c>
      <x:c r="B21" s="32" t="str">
        <x:v>INR/user</x:v>
      </x:c>
      <x:c r="C21" s="40" t="n">
        <x:v>900</x:v>
      </x:c>
      <x:c r="D21" s="32" t="str">
        <x:v>Source assumption</x:v>
      </x:c>
      <x:c r="E21" s="34" t="str">
        <x:v>Direct performance marketing CAC.</x:v>
      </x:c>
    </x:row>
    <x:row r="22" ht="15" hidden="0" customHeight="1">
      <x:c r="A22" s="31" t="str">
        <x:v>Organic share M13-M24</x:v>
      </x:c>
      <x:c r="B22" s="32" t="str">
        <x:v>% of total new users</x:v>
      </x:c>
      <x:c r="C22" s="42" t="n">
        <x:v>0.1</x:v>
      </x:c>
      <x:c r="D22" s="32" t="str">
        <x:v>Source assumption</x:v>
      </x:c>
      <x:c r="E22" s="34" t="str">
        <x:v>Solved algebraically as organic = analyst+direct x 11.1111%.</x:v>
      </x:c>
    </x:row>
    <x:row r="23" ht="15" hidden="0" customHeight="1">
      <x:c r="A23" s="31" t="str">
        <x:v>Organic CAC</x:v>
      </x:c>
      <x:c r="B23" s="32" t="str">
        <x:v>INR/user</x:v>
      </x:c>
      <x:c r="C23" s="40" t="n">
        <x:v>250</x:v>
      </x:c>
      <x:c r="D23" s="32" t="str">
        <x:v>MODEL DEFAULT - VERIFY</x:v>
      </x:c>
      <x:c r="E23" s="34" t="str">
        <x:v>Content/community cost proxy.</x:v>
      </x:c>
    </x:row>
    <x:row r="24" ht="15" hidden="0" customHeight="1">
      <x:c r="A24" s="31" t="str">
        <x:v>Subscription price</x:v>
      </x:c>
      <x:c r="B24" s="32" t="str">
        <x:v>INR/month</x:v>
      </x:c>
      <x:c r="C24" s="40" t="n">
        <x:v>499</x:v>
      </x:c>
      <x:c r="D24" s="32" t="str">
        <x:v>Source assumption</x:v>
      </x:c>
      <x:c r="E24" s="34" t="str">
        <x:v>Monthly subscription.</x:v>
      </x:c>
    </x:row>
    <x:row r="25" ht="15" hidden="0" customHeight="1">
      <x:c r="A25" s="31" t="str">
        <x:v>Premium advisory session price</x:v>
      </x:c>
      <x:c r="B25" s="32" t="str">
        <x:v>INR/session</x:v>
      </x:c>
      <x:c r="C25" s="42" t="n">
        <x:v>1000</x:v>
      </x:c>
      <x:c r="D25" s="32" t="str">
        <x:v>Source assumption</x:v>
      </x:c>
      <x:c r="E25" s="34" t="str">
        <x:v>Incremental paid advisory only.</x:v>
      </x:c>
    </x:row>
    <x:row r="26" ht="15" hidden="0" customHeight="1">
      <x:c r="A26" s="31" t="str">
        <x:v>Partner commission rate</x:v>
      </x:c>
      <x:c r="B26" s="32" t="str">
        <x:v>%</x:v>
      </x:c>
      <x:c r="C26" s="40" t="n">
        <x:v>0.01</x:v>
      </x:c>
      <x:c r="D26" s="32" t="str">
        <x:v>Source assumption</x:v>
      </x:c>
      <x:c r="E26" s="34" t="str">
        <x:v>Financial-product commission.</x:v>
      </x:c>
    </x:row>
    <x:row r="27" ht="15" hidden="0" customHeight="1">
      <x:c r="A27" s="31" t="str">
        <x:v>Average transaction value</x:v>
      </x:c>
      <x:c r="B27" s="32" t="str">
        <x:v>INR</x:v>
      </x:c>
      <x:c r="C27" s="40" t="n">
        <x:v>50000</x:v>
      </x:c>
      <x:c r="D27" s="32" t="str">
        <x:v>MODEL DEFAULT - VERIFY</x:v>
      </x:c>
      <x:c r="E27" s="34" t="str">
        <x:v>Editable financial-product transaction value.</x:v>
      </x:c>
    </x:row>
    <x:row r="28" ht="26.399999618530273" hidden="0" customHeight="1">
      <x:c r="A28" s="31" t="str">
        <x:v>Annual premium sessions per converted subscriber</x:v>
      </x:c>
      <x:c r="B28" s="32" t="str">
        <x:v>sessions/year</x:v>
      </x:c>
      <x:c r="C28" s="40" t="n">
        <x:v>2</x:v>
      </x:c>
      <x:c r="D28" s="32" t="str">
        <x:v>MODEL DEFAULT - VERIFY</x:v>
      </x:c>
      <x:c r="E28" s="34" t="str">
        <x:v>Converted to monthly equivalent.</x:v>
      </x:c>
    </x:row>
    <x:row r="29" ht="15" hidden="0" customHeight="1">
      <x:c r="A29" s="31" t="str">
        <x:v>Partner receivable days</x:v>
      </x:c>
      <x:c r="B29" s="32" t="str">
        <x:v>days</x:v>
      </x:c>
      <x:c r="C29" s="40" t="n">
        <x:v>45</x:v>
      </x:c>
      <x:c r="D29" s="32" t="str">
        <x:v>MODEL DEFAULT - VERIFY</x:v>
      </x:c>
      <x:c r="E29" s="34" t="str">
        <x:v>Working-capital default.</x:v>
      </x:c>
    </x:row>
    <x:row r="30" ht="15" hidden="0" customHeight="1">
      <x:c r="A30" s="31" t="str">
        <x:v>Vendor payable days</x:v>
      </x:c>
      <x:c r="B30" s="32" t="str">
        <x:v>days</x:v>
      </x:c>
      <x:c r="C30" s="42" t="n">
        <x:v>30</x:v>
      </x:c>
      <x:c r="D30" s="32" t="str">
        <x:v>MODEL DEFAULT - VERIFY</x:v>
      </x:c>
      <x:c r="E30" s="34" t="str">
        <x:v>Working-capital default.</x:v>
      </x:c>
    </x:row>
    <x:row r="31" ht="15" hidden="0" customHeight="1">
      <x:c r="A31" s="31" t="str">
        <x:v>Prepaid expense rate</x:v>
      </x:c>
      <x:c r="B31" s="32" t="str">
        <x:v>% of monthly opex</x:v>
      </x:c>
      <x:c r="C31" s="42" t="n">
        <x:v>0.05</x:v>
      </x:c>
      <x:c r="D31" s="32" t="str">
        <x:v>MODEL DEFAULT - VERIFY</x:v>
      </x:c>
      <x:c r="E31" s="34" t="str">
        <x:v>Current asset treatment.</x:v>
      </x:c>
    </x:row>
    <x:row r="32" ht="15" hidden="0" customHeight="1">
      <x:c r="A32" s="31" t="str">
        <x:v>Finance cost</x:v>
      </x:c>
      <x:c r="B32" s="32" t="str">
        <x:v>INR lakh/month</x:v>
      </x:c>
      <x:c r="C32" s="42" t="n">
        <x:v>0</x:v>
      </x:c>
      <x:c r="D32" s="32" t="str">
        <x:v>MODEL DEFAULT - VERIFY</x:v>
      </x:c>
      <x:c r="E32" s="34" t="str">
        <x:v>Zero unless debt/financing is introduced.</x:v>
      </x:c>
    </x:row>
    <x:row r="33" ht="15" hidden="0" customHeight="1">
      <x:c r="A33" s="31" t="str">
        <x:v>Effective tax rate</x:v>
      </x:c>
      <x:c r="B33" s="32" t="str">
        <x:v>%</x:v>
      </x:c>
      <x:c r="C33" s="40" t="n">
        <x:v>0.25</x:v>
      </x:c>
      <x:c r="D33" s="32" t="str">
        <x:v>MODEL DEFAULT - VERIFY</x:v>
      </x:c>
      <x:c r="E33" s="34" t="str">
        <x:v>Applied only to positive PBT.</x:v>
      </x:c>
    </x:row>
    <x:row r="34" ht="15" hidden="0" customHeight="1">
      <x:c r="A34" s="31" t="str">
        <x:v>Capitalisation rate - internal software</x:v>
      </x:c>
      <x:c r="B34" s="32" t="str">
        <x:v>%</x:v>
      </x:c>
      <x:c r="C34" s="40" t="n">
        <x:v>0.35</x:v>
      </x:c>
      <x:c r="D34" s="32" t="str">
        <x:v>MODEL DEFAULT - VERIFY</x:v>
      </x:c>
      <x:c r="E34" s="34" t="str">
        <x:v>Requires accounting validation.</x:v>
      </x:c>
    </x:row>
    <x:row r="35" ht="15" hidden="0" customHeight="1">
      <x:c r="A35" s="31" t="str">
        <x:v>Useful life - capitalised software</x:v>
      </x:c>
      <x:c r="B35" s="32" t="str">
        <x:v>months</x:v>
      </x:c>
      <x:c r="C35" s="40" t="n">
        <x:v>36</x:v>
      </x:c>
      <x:c r="D35" s="32" t="str">
        <x:v>MODEL DEFAULT - VERIFY</x:v>
      </x:c>
      <x:c r="E35" s="34" t="str">
        <x:v>Straight-line amortisation assumption.</x:v>
      </x:c>
    </x:row>
    <x:row r="36" ht="15" hidden="0" customHeight="1">
      <x:c r="A36" s="31" t="str">
        <x:v>AI/LLM cost per active user M1</x:v>
      </x:c>
      <x:c r="B36" s="32" t="str">
        <x:v>INR/month</x:v>
      </x:c>
      <x:c r="C36" s="40" t="n">
        <x:v>60</x:v>
      </x:c>
      <x:c r="D36" s="32" t="str">
        <x:v>MODEL DEFAULT - VERIFY</x:v>
      </x:c>
      <x:c r="E36" s="34" t="str">
        <x:v>Production inference cost.</x:v>
      </x:c>
    </x:row>
    <x:row r="37" ht="15" hidden="0" customHeight="1">
      <x:c r="A37" s="31" t="str">
        <x:v>AI/LLM cost per active user M24</x:v>
      </x:c>
      <x:c r="B37" s="32" t="str">
        <x:v>INR/month</x:v>
      </x:c>
      <x:c r="C37" s="40" t="n">
        <x:v>25</x:v>
      </x:c>
      <x:c r="D37" s="32" t="str">
        <x:v>MODEL DEFAULT - VERIFY</x:v>
      </x:c>
      <x:c r="E37" s="34" t="str">
        <x:v>Improves with optimisation.</x:v>
      </x:c>
    </x:row>
    <x:row r="38" ht="15" hidden="0" customHeight="1">
      <x:c r="A38" s="31" t="str">
        <x:v>Cloud service cost per active user M1</x:v>
      </x:c>
      <x:c r="B38" s="32" t="str">
        <x:v>INR/month</x:v>
      </x:c>
      <x:c r="C38" s="40" t="n">
        <x:v>20</x:v>
      </x:c>
      <x:c r="D38" s="32" t="str">
        <x:v>MODEL DEFAULT - VERIFY</x:v>
      </x:c>
      <x:c r="E38" s="34" t="str">
        <x:v>User-linked production cloud.</x:v>
      </x:c>
    </x:row>
    <x:row r="39" ht="15" hidden="0" customHeight="1">
      <x:c r="A39" s="31" t="str">
        <x:v>Cloud service cost per active user M24</x:v>
      </x:c>
      <x:c r="B39" s="32" t="str">
        <x:v>INR/month</x:v>
      </x:c>
      <x:c r="C39" s="40" t="n">
        <x:v>12</x:v>
      </x:c>
      <x:c r="D39" s="32" t="str">
        <x:v>MODEL DEFAULT - VERIFY</x:v>
      </x:c>
      <x:c r="E39" s="34" t="str">
        <x:v>Scale efficiency.</x:v>
      </x:c>
    </x:row>
    <x:row r="40" ht="15" hidden="0" customHeight="1">
      <x:c r="A40" s="31" t="str">
        <x:v>Variable market-data cost per active user</x:v>
      </x:c>
      <x:c r="B40" s="32" t="str">
        <x:v>INR/month</x:v>
      </x:c>
      <x:c r="C40" s="40" t="n">
        <x:v>5</x:v>
      </x:c>
      <x:c r="D40" s="32" t="str">
        <x:v>MODEL DEFAULT - VERIFY</x:v>
      </x:c>
      <x:c r="E40" s="34" t="str">
        <x:v>Incremental delivery cost.</x:v>
      </x:c>
    </x:row>
    <x:row r="41" ht="15" hidden="0" customHeight="1">
      <x:c r="A41" s="31" t="str">
        <x:v>Included advisory delivery cost per avg subscriber</x:v>
      </x:c>
      <x:c r="B41" s="32" t="str">
        <x:v>INR/month</x:v>
      </x:c>
      <x:c r="C41" s="40" t="n">
        <x:v>80</x:v>
      </x:c>
      <x:c r="D41" s="32" t="str">
        <x:v>MODEL DEFAULT - VERIFY</x:v>
      </x:c>
      <x:c r="E41" s="34" t="str">
        <x:v>Cost of included advisory access.</x:v>
      </x:c>
    </x:row>
    <x:row r="42" ht="15" hidden="0" customHeight="1">
      <x:c r="A42" s="31" t="str">
        <x:v>Premium advisory delivery cost per session</x:v>
      </x:c>
      <x:c r="B42" s="32" t="str">
        <x:v>INR/session</x:v>
      </x:c>
      <x:c r="C42" s="42" t="n">
        <x:v>450</x:v>
      </x:c>
      <x:c r="D42" s="32" t="str">
        <x:v>MODEL DEFAULT - VERIFY</x:v>
      </x:c>
      <x:c r="E42" s="34" t="str">
        <x:v>Advisor payout/delivery cost.</x:v>
      </x:c>
    </x:row>
    <x:row r="43" ht="15" hidden="0" customHeight="1">
      <x:c r="A43" s="31" t="str">
        <x:v>Payment gateway rate</x:v>
      </x:c>
      <x:c r="B43" s="32" t="str">
        <x:v>% of customer revenue</x:v>
      </x:c>
      <x:c r="C43" s="40" t="n">
        <x:v>0.02</x:v>
      </x:c>
      <x:c r="D43" s="32" t="str">
        <x:v>MODEL DEFAULT - VERIFY</x:v>
      </x:c>
      <x:c r="E43" s="34" t="str">
        <x:v>Subscription + premium advisory.</x:v>
      </x:c>
    </x:row>
    <x:row r="44" ht="15" hidden="0" customHeight="1">
      <x:c r="A44" s="31" t="str">
        <x:v>Communication cost per active user</x:v>
      </x:c>
      <x:c r="B44" s="32" t="str">
        <x:v>INR/month</x:v>
      </x:c>
      <x:c r="C44" s="40" t="n">
        <x:v>3</x:v>
      </x:c>
      <x:c r="D44" s="32" t="str">
        <x:v>MODEL DEFAULT - VERIFY</x:v>
      </x:c>
      <x:c r="E44" s="34" t="str">
        <x:v>Usage-driven notifications/support.</x:v>
      </x:c>
    </x:row>
    <x:row r="45" ht="15" hidden="0" customHeight="1">
      <x:c r="A45" s="31" t="str">
        <x:v>Variable support cost per active user</x:v>
      </x:c>
      <x:c r="B45" s="32" t="str">
        <x:v>INR/month</x:v>
      </x:c>
      <x:c r="C45" s="40" t="n">
        <x:v>8</x:v>
      </x:c>
      <x:c r="D45" s="32" t="str">
        <x:v>MODEL DEFAULT - VERIFY</x:v>
      </x:c>
      <x:c r="E45" s="34" t="str">
        <x:v>Customer success support load.</x:v>
      </x:c>
    </x:row>
    <x:row r="46" ht="15" hidden="0" customHeight="1">
      <x:c r="A46" s="31" t="str">
        <x:v>Ops team cash cost reference</x:v>
      </x:c>
      <x:c r="B46" s="32" t="str">
        <x:v>INR lakh</x:v>
      </x:c>
      <x:c r="C46" s="40" t="n">
        <x:v>90</x:v>
      </x:c>
      <x:c r="D46" s="32" t="str">
        <x:v>Source funding envelope</x:v>
      </x:c>
      <x:c r="E46" s="34" t="str">
        <x:v>Business &amp; operations team allocation.</x:v>
      </x:c>
    </x:row>
    <x:row r="47" ht="15" hidden="0" customHeight="1">
      <x:c r="A47" s="31" t="str">
        <x:v>G&amp;A cash cost reference</x:v>
      </x:c>
      <x:c r="B47" s="32" t="str">
        <x:v>INR lakh</x:v>
      </x:c>
      <x:c r="C47" s="40" t="n">
        <x:v>60</x:v>
      </x:c>
      <x:c r="D47" s="32" t="str">
        <x:v>Source funding envelope</x:v>
      </x:c>
      <x:c r="E47" s="34" t="str">
        <x:v>Administration allocation.</x:v>
      </x:c>
    </x:row>
    <x:row r="48" ht="15" hidden="0" customHeight="1">
      <x:c r="A48" s="35" t="str">
        <x:v>Purchased technology assets</x:v>
      </x:c>
      <x:c r="B48" s="36" t="str">
        <x:v>INR lakh</x:v>
      </x:c>
      <x:c r="C48" s="41" t="n">
        <x:v>10</x:v>
      </x:c>
      <x:c r="D48" s="36" t="str">
        <x:v>MODEL DEFAULT - VERIFY</x:v>
      </x:c>
      <x:c r="E48" s="38" t="str">
        <x:v>Capex proxy within technology envelope.</x:v>
      </x:c>
    </x:row>
    <x:row r="49"/>
    <x:row r="50"/>
    <x:row r="51"/>
    <x:row r="52" ht="15" hidden="0" customHeight="1">
      <x:c r="A52" s="45" t="str">
        <x:v>Monthly Editable Ramps</x:v>
      </x:c>
      <x:c r="B52" s="46" t="str">
        <x:v>Monthly Editable Ramps</x:v>
      </x:c>
      <x:c r="C52" s="46" t="str">
        <x:v>Monthly Editable Ramps</x:v>
      </x:c>
      <x:c r="D52" s="46" t="str">
        <x:v>Monthly Editable Ramps</x:v>
      </x:c>
      <x:c r="E52" s="46" t="str">
        <x:v>Monthly Editable Ramps</x:v>
      </x:c>
      <x:c r="F52" s="46" t="str">
        <x:v>Monthly Editable Ramps</x:v>
      </x:c>
      <x:c r="G52" s="46" t="str">
        <x:v>Monthly Editable Ramps</x:v>
      </x:c>
      <x:c r="H52" s="46" t="str">
        <x:v>Monthly Editable Ramps</x:v>
      </x:c>
      <x:c r="I52" s="46" t="str">
        <x:v>Monthly Editable Ramps</x:v>
      </x:c>
      <x:c r="J52" s="46" t="str">
        <x:v>Monthly Editable Ramps</x:v>
      </x:c>
      <x:c r="K52" s="46" t="str">
        <x:v>Monthly Editable Ramps</x:v>
      </x:c>
      <x:c r="L52" s="46" t="str">
        <x:v>Monthly Editable Ramps</x:v>
      </x:c>
      <x:c r="M52" s="46" t="str">
        <x:v>Monthly Editable Ramps</x:v>
      </x:c>
      <x:c r="N52" s="46" t="str">
        <x:v>Monthly Editable Ramps</x:v>
      </x:c>
      <x:c r="O52" s="46" t="str">
        <x:v>Monthly Editable Ramps</x:v>
      </x:c>
      <x:c r="P52" s="46" t="str">
        <x:v>Monthly Editable Ramps</x:v>
      </x:c>
      <x:c r="Q52" s="46" t="str">
        <x:v>Monthly Editable Ramps</x:v>
      </x:c>
      <x:c r="R52" s="46" t="str">
        <x:v>Monthly Editable Ramps</x:v>
      </x:c>
      <x:c r="S52" s="46" t="str">
        <x:v>Monthly Editable Ramps</x:v>
      </x:c>
      <x:c r="T52" s="46" t="str">
        <x:v>Monthly Editable Ramps</x:v>
      </x:c>
      <x:c r="U52" s="46" t="str">
        <x:v>Monthly Editable Ramps</x:v>
      </x:c>
      <x:c r="V52" s="46" t="str">
        <x:v>Monthly Editable Ramps</x:v>
      </x:c>
      <x:c r="W52" s="46" t="str">
        <x:v>Monthly Editable Ramps</x:v>
      </x:c>
      <x:c r="X52" s="46" t="str">
        <x:v>Monthly Editable Ramps</x:v>
      </x:c>
      <x:c r="Y52" s="47" t="str">
        <x:v>Monthly Editable Ramps</x:v>
      </x:c>
    </x:row>
    <x:row r="53" ht="15" hidden="0" customHeight="1">
      <x:c r="A53" s="10" t="str">
        <x:v>Ramp</x:v>
      </x:c>
      <x:c r="B53" s="11" t="str">
        <x:v>M1</x:v>
      </x:c>
      <x:c r="C53" s="11" t="str">
        <x:v>M2</x:v>
      </x:c>
      <x:c r="D53" s="11" t="str">
        <x:v>M3</x:v>
      </x:c>
      <x:c r="E53" s="11" t="str">
        <x:v>M4</x:v>
      </x:c>
      <x:c r="F53" s="11" t="str">
        <x:v>M5</x:v>
      </x:c>
      <x:c r="G53" s="11" t="str">
        <x:v>M6</x:v>
      </x:c>
      <x:c r="H53" s="11" t="str">
        <x:v>M7</x:v>
      </x:c>
      <x:c r="I53" s="11" t="str">
        <x:v>M8</x:v>
      </x:c>
      <x:c r="J53" s="11" t="str">
        <x:v>M9</x:v>
      </x:c>
      <x:c r="K53" s="11" t="str">
        <x:v>M10</x:v>
      </x:c>
      <x:c r="L53" s="11" t="str">
        <x:v>M11</x:v>
      </x:c>
      <x:c r="M53" s="11" t="str">
        <x:v>M12</x:v>
      </x:c>
      <x:c r="N53" s="11" t="str">
        <x:v>M13</x:v>
      </x:c>
      <x:c r="O53" s="11" t="str">
        <x:v>M14</x:v>
      </x:c>
      <x:c r="P53" s="11" t="str">
        <x:v>M15</x:v>
      </x:c>
      <x:c r="Q53" s="11" t="str">
        <x:v>M16</x:v>
      </x:c>
      <x:c r="R53" s="11" t="str">
        <x:v>M17</x:v>
      </x:c>
      <x:c r="S53" s="11" t="str">
        <x:v>M18</x:v>
      </x:c>
      <x:c r="T53" s="11" t="str">
        <x:v>M19</x:v>
      </x:c>
      <x:c r="U53" s="11" t="str">
        <x:v>M20</x:v>
      </x:c>
      <x:c r="V53" s="11" t="str">
        <x:v>M21</x:v>
      </x:c>
      <x:c r="W53" s="11" t="str">
        <x:v>M22</x:v>
      </x:c>
      <x:c r="X53" s="11" t="str">
        <x:v>M23</x:v>
      </x:c>
      <x:c r="Y53" s="12" t="str">
        <x:v>M24</x:v>
      </x:c>
    </x:row>
    <x:row r="54" ht="15" hidden="0" customHeight="1">
      <x:c r="A54" t="str">
        <x:v>Target New Registered Users</x:v>
      </x:c>
      <x:c r="B54" s="48" t="n">
        <x:v>250</x:v>
      </x:c>
      <x:c r="C54" s="48" t="n">
        <x:v>350</x:v>
      </x:c>
      <x:c r="D54" s="48" t="n">
        <x:v>400</x:v>
      </x:c>
      <x:c r="E54" s="48" t="n">
        <x:v>350</x:v>
      </x:c>
      <x:c r="F54" s="48" t="n">
        <x:v>375</x:v>
      </x:c>
      <x:c r="G54" s="48" t="n">
        <x:v>400</x:v>
      </x:c>
      <x:c r="H54" s="48" t="n">
        <x:v>425</x:v>
      </x:c>
      <x:c r="I54" s="48" t="n">
        <x:v>450</x:v>
      </x:c>
      <x:c r="J54" s="48" t="n">
        <x:v>475</x:v>
      </x:c>
      <x:c r="K54" s="48" t="n">
        <x:v>500</x:v>
      </x:c>
      <x:c r="L54" s="48" t="n">
        <x:v>500</x:v>
      </x:c>
      <x:c r="M54" s="48" t="n">
        <x:v>525</x:v>
      </x:c>
      <x:c r="N54" s="48" t="n">
        <x:v>650</x:v>
      </x:c>
      <x:c r="O54" s="48" t="n">
        <x:v>750</x:v>
      </x:c>
      <x:c r="P54" s="48" t="n">
        <x:v>800</x:v>
      </x:c>
      <x:c r="Q54" s="48" t="n">
        <x:v>850</x:v>
      </x:c>
      <x:c r="R54" s="48" t="n">
        <x:v>950</x:v>
      </x:c>
      <x:c r="S54" s="48" t="n">
        <x:v>1000</x:v>
      </x:c>
      <x:c r="T54" s="48" t="n">
        <x:v>750</x:v>
      </x:c>
      <x:c r="U54" s="48" t="n">
        <x:v>800</x:v>
      </x:c>
      <x:c r="V54" s="48" t="n">
        <x:v>850</x:v>
      </x:c>
      <x:c r="W54" s="48" t="n">
        <x:v>850</x:v>
      </x:c>
      <x:c r="X54" s="48" t="n">
        <x:v>875</x:v>
      </x:c>
      <x:c r="Y54" s="48" t="n">
        <x:v>875</x:v>
      </x:c>
    </x:row>
    <x:row r="55" ht="15" hidden="0" customHeight="1">
      <x:c r="A55" t="str">
        <x:v>Target Cumulative Registered Users</x:v>
      </x:c>
      <x:c r="B55" s="48" t="n">
        <x:f>SUM($B$54:B54)</x:f>
        <x:v>250</x:v>
      </x:c>
      <x:c r="C55" s="48" t="n">
        <x:f>SUM($B$54:C54)</x:f>
        <x:v>600</x:v>
      </x:c>
      <x:c r="D55" s="48" t="n">
        <x:f>SUM($B$54:D54)</x:f>
        <x:v>1000</x:v>
      </x:c>
      <x:c r="E55" s="48" t="n">
        <x:f>SUM($B$54:E54)</x:f>
        <x:v>1350</x:v>
      </x:c>
      <x:c r="F55" s="48" t="n">
        <x:f>SUM($B$54:F54)</x:f>
        <x:v>1725</x:v>
      </x:c>
      <x:c r="G55" s="48" t="n">
        <x:f>SUM($B$54:G54)</x:f>
        <x:v>2125</x:v>
      </x:c>
      <x:c r="H55" s="48" t="n">
        <x:f>SUM($B$54:H54)</x:f>
        <x:v>2550</x:v>
      </x:c>
      <x:c r="I55" s="48" t="n">
        <x:f>SUM($B$54:I54)</x:f>
        <x:v>3000</x:v>
      </x:c>
      <x:c r="J55" s="48" t="n">
        <x:f>SUM($B$54:J54)</x:f>
        <x:v>3475</x:v>
      </x:c>
      <x:c r="K55" s="48" t="n">
        <x:f>SUM($B$54:K54)</x:f>
        <x:v>3975</x:v>
      </x:c>
      <x:c r="L55" s="48" t="n">
        <x:f>SUM($B$54:L54)</x:f>
        <x:v>4475</x:v>
      </x:c>
      <x:c r="M55" s="48" t="n">
        <x:f>SUM($B$54:M54)</x:f>
        <x:v>5000</x:v>
      </x:c>
      <x:c r="N55" s="48" t="n">
        <x:f>SUM($B$54:N54)</x:f>
        <x:v>5650</x:v>
      </x:c>
      <x:c r="O55" s="48" t="n">
        <x:f>SUM($B$54:O54)</x:f>
        <x:v>6400</x:v>
      </x:c>
      <x:c r="P55" s="48" t="n">
        <x:f>SUM($B$54:P54)</x:f>
        <x:v>7200</x:v>
      </x:c>
      <x:c r="Q55" s="48" t="n">
        <x:f>SUM($B$54:Q54)</x:f>
        <x:v>8050</x:v>
      </x:c>
      <x:c r="R55" s="48" t="n">
        <x:f>SUM($B$54:R54)</x:f>
        <x:v>9000</x:v>
      </x:c>
      <x:c r="S55" s="48" t="n">
        <x:f>SUM($B$54:S54)</x:f>
        <x:v>10000</x:v>
      </x:c>
      <x:c r="T55" s="48" t="n">
        <x:f>SUM($B$54:T54)</x:f>
        <x:v>10750</x:v>
      </x:c>
      <x:c r="U55" s="48" t="n">
        <x:f>SUM($B$54:U54)</x:f>
        <x:v>11550</x:v>
      </x:c>
      <x:c r="V55" s="48" t="n">
        <x:f>SUM($B$54:V54)</x:f>
        <x:v>12400</x:v>
      </x:c>
      <x:c r="W55" s="48" t="n">
        <x:f>SUM($B$54:W54)</x:f>
        <x:v>13250</x:v>
      </x:c>
      <x:c r="X55" s="48" t="n">
        <x:f>SUM($B$54:X54)</x:f>
        <x:v>14125</x:v>
      </x:c>
      <x:c r="Y55" s="48" t="n">
        <x:f>SUM($B$54:Y54)</x:f>
        <x:v>15000</x:v>
      </x:c>
    </x:row>
    <x:row r="56" ht="15" hidden="0" customHeight="1">
      <x:c r="A56" t="str">
        <x:v>Active User Rate</x:v>
      </x:c>
      <x:c r="B56" s="49" t="n">
        <x:v>0.2</x:v>
      </x:c>
      <x:c r="C56" s="49" t="n">
        <x:v>0.21521739130434783</x:v>
      </x:c>
      <x:c r="D56" s="49" t="n">
        <x:v>0.23043478260869565</x:v>
      </x:c>
      <x:c r="E56" s="49" t="n">
        <x:v>0.2456521739130435</x:v>
      </x:c>
      <x:c r="F56" s="49" t="n">
        <x:v>0.2608695652173913</x:v>
      </x:c>
      <x:c r="G56" s="49" t="n">
        <x:v>0.27608695652173915</x:v>
      </x:c>
      <x:c r="H56" s="49" t="n">
        <x:v>0.29130434782608694</x:v>
      </x:c>
      <x:c r="I56" s="49" t="n">
        <x:v>0.3065217391304348</x:v>
      </x:c>
      <x:c r="J56" s="49" t="n">
        <x:v>0.32173913043478264</x:v>
      </x:c>
      <x:c r="K56" s="49" t="n">
        <x:v>0.3369565217391305</x:v>
      </x:c>
      <x:c r="L56" s="49" t="n">
        <x:v>0.3521739130434783</x:v>
      </x:c>
      <x:c r="M56" s="49" t="n">
        <x:v>0.36739130434782613</x:v>
      </x:c>
      <x:c r="N56" s="49" t="n">
        <x:v>0.3826086956521739</x:v>
      </x:c>
      <x:c r="O56" s="49" t="n">
        <x:v>0.3978260869565218</x:v>
      </x:c>
      <x:c r="P56" s="49" t="n">
        <x:v>0.4130434782608696</x:v>
      </x:c>
      <x:c r="Q56" s="49" t="n">
        <x:v>0.4282608695652175</x:v>
      </x:c>
      <x:c r="R56" s="49" t="n">
        <x:v>0.4434782608695652</x:v>
      </x:c>
      <x:c r="S56" s="49" t="n">
        <x:v>0.45869565217391306</x:v>
      </x:c>
      <x:c r="T56" s="49" t="n">
        <x:v>0.4739130434782609</x:v>
      </x:c>
      <x:c r="U56" s="49" t="n">
        <x:v>0.4891304347826087</x:v>
      </x:c>
      <x:c r="V56" s="49" t="n">
        <x:v>0.5043478260869565</x:v>
      </x:c>
      <x:c r="W56" s="49" t="n">
        <x:v>0.5195652173913043</x:v>
      </x:c>
      <x:c r="X56" s="49" t="n">
        <x:v>0.5347826086956522</x:v>
      </x:c>
      <x:c r="Y56" s="49" t="n">
        <x:v>0.55</x:v>
      </x:c>
    </x:row>
    <x:row r="57" ht="15" hidden="0" customHeight="1">
      <x:c r="A57" t="str">
        <x:v>Paid Conversion - Non Analyst Active Users</x:v>
      </x:c>
      <x:c r="B57" s="49" t="n">
        <x:v>0.005</x:v>
      </x:c>
      <x:c r="C57" s="49" t="n">
        <x:v>0.00826086956521739</x:v>
      </x:c>
      <x:c r="D57" s="49" t="n">
        <x:v>0.011521739130434782</x:v>
      </x:c>
      <x:c r="E57" s="49" t="n">
        <x:v>0.014782608695652174</x:v>
      </x:c>
      <x:c r="F57" s="49" t="n">
        <x:v>0.018043478260869564</x:v>
      </x:c>
      <x:c r="G57" s="49" t="n">
        <x:v>0.021304347826086957</x:v>
      </x:c>
      <x:c r="H57" s="49" t="n">
        <x:v>0.024565217391304347</x:v>
      </x:c>
      <x:c r="I57" s="49" t="n">
        <x:v>0.02782608695652174</x:v>
      </x:c>
      <x:c r="J57" s="49" t="n">
        <x:v>0.03108695652173913</x:v>
      </x:c>
      <x:c r="K57" s="49" t="n">
        <x:v>0.034347826086956516</x:v>
      </x:c>
      <x:c r="L57" s="49" t="n">
        <x:v>0.03760869565217391</x:v>
      </x:c>
      <x:c r="M57" s="49" t="n">
        <x:v>0.0408695652173913</x:v>
      </x:c>
      <x:c r="N57" s="49" t="n">
        <x:v>0.04413043478260869</x:v>
      </x:c>
      <x:c r="O57" s="49" t="n">
        <x:v>0.04739130434782608</x:v>
      </x:c>
      <x:c r="P57" s="49" t="n">
        <x:v>0.050652173913043476</x:v>
      </x:c>
      <x:c r="Q57" s="49" t="n">
        <x:v>0.05391304347826087</x:v>
      </x:c>
      <x:c r="R57" s="49" t="n">
        <x:v>0.057173913043478256</x:v>
      </x:c>
      <x:c r="S57" s="49" t="n">
        <x:v>0.06043478260869565</x:v>
      </x:c>
      <x:c r="T57" s="49" t="n">
        <x:v>0.06369565217391304</x:v>
      </x:c>
      <x:c r="U57" s="49" t="n">
        <x:v>0.06695652173913044</x:v>
      </x:c>
      <x:c r="V57" s="49" t="n">
        <x:v>0.07021739130434783</x:v>
      </x:c>
      <x:c r="W57" s="49" t="n">
        <x:v>0.07347826086956522</x:v>
      </x:c>
      <x:c r="X57" s="49" t="n">
        <x:v>0.07673913043478262</x:v>
      </x:c>
      <x:c r="Y57" s="49" t="n">
        <x:v>0.08</x:v>
      </x:c>
    </x:row>
    <x:row r="58" ht="15" hidden="0" customHeight="1">
      <x:c r="A58" t="str">
        <x:v>Monthly Subscriber Churn</x:v>
      </x:c>
      <x:c r="B58" s="49" t="n">
        <x:v>0.07</x:v>
      </x:c>
      <x:c r="C58" s="49" t="n">
        <x:v>0.0682608695652174</x:v>
      </x:c>
      <x:c r="D58" s="49" t="n">
        <x:v>0.06652173913043478</x:v>
      </x:c>
      <x:c r="E58" s="49" t="n">
        <x:v>0.06478260869565218</x:v>
      </x:c>
      <x:c r="F58" s="49" t="n">
        <x:v>0.06304347826086958</x:v>
      </x:c>
      <x:c r="G58" s="49" t="n">
        <x:v>0.06130434782608696</x:v>
      </x:c>
      <x:c r="H58" s="49" t="n">
        <x:v>0.059565217391304354</x:v>
      </x:c>
      <x:c r="I58" s="49" t="n">
        <x:v>0.05782608695652174</x:v>
      </x:c>
      <x:c r="J58" s="49" t="n">
        <x:v>0.05608695652173913</x:v>
      </x:c>
      <x:c r="K58" s="49" t="n">
        <x:v>0.05434782608695653</x:v>
      </x:c>
      <x:c r="L58" s="49" t="n">
        <x:v>0.052608695652173916</x:v>
      </x:c>
      <x:c r="M58" s="49" t="n">
        <x:v>0.050869565217391305</x:v>
      </x:c>
      <x:c r="N58" s="49" t="n">
        <x:v>0.0491304347826087</x:v>
      </x:c>
      <x:c r="O58" s="49" t="n">
        <x:v>0.04739130434782609</x:v>
      </x:c>
      <x:c r="P58" s="49" t="n">
        <x:v>0.04565217391304348</x:v>
      </x:c>
      <x:c r="Q58" s="49" t="n">
        <x:v>0.043913043478260874</x:v>
      </x:c>
      <x:c r="R58" s="49" t="n">
        <x:v>0.04217391304347826</x:v>
      </x:c>
      <x:c r="S58" s="49" t="n">
        <x:v>0.04043478260869565</x:v>
      </x:c>
      <x:c r="T58" s="49" t="n">
        <x:v>0.03869565217391304</x:v>
      </x:c>
      <x:c r="U58" s="49" t="n">
        <x:v>0.03695652173913044</x:v>
      </x:c>
      <x:c r="V58" s="49" t="n">
        <x:v>0.035217391304347825</x:v>
      </x:c>
      <x:c r="W58" s="49" t="n">
        <x:v>0.033478260869565214</x:v>
      </x:c>
      <x:c r="X58" s="49" t="n">
        <x:v>0.03173913043478261</x:v>
      </x:c>
      <x:c r="Y58" s="49" t="n">
        <x:v>0.03</x:v>
      </x:c>
    </x:row>
    <x:row r="59" ht="15" hidden="0" customHeight="1">
      <x:c r="A59" t="str">
        <x:v>Premium Advisory Conversion</x:v>
      </x:c>
      <x:c r="B59" s="49" t="n">
        <x:v>0.03</x:v>
      </x:c>
      <x:c r="C59" s="49" t="n">
        <x:v>0.03173913043478261</x:v>
      </x:c>
      <x:c r="D59" s="49" t="n">
        <x:v>0.033478260869565214</x:v>
      </x:c>
      <x:c r="E59" s="49" t="n">
        <x:v>0.035217391304347825</x:v>
      </x:c>
      <x:c r="F59" s="49" t="n">
        <x:v>0.03695652173913044</x:v>
      </x:c>
      <x:c r="G59" s="49" t="n">
        <x:v>0.03869565217391305</x:v>
      </x:c>
      <x:c r="H59" s="49" t="n">
        <x:v>0.04043478260869565</x:v>
      </x:c>
      <x:c r="I59" s="49" t="n">
        <x:v>0.04217391304347826</x:v>
      </x:c>
      <x:c r="J59" s="49" t="n">
        <x:v>0.043913043478260874</x:v>
      </x:c>
      <x:c r="K59" s="49" t="n">
        <x:v>0.04565217391304348</x:v>
      </x:c>
      <x:c r="L59" s="49" t="n">
        <x:v>0.04739130434782609</x:v>
      </x:c>
      <x:c r="M59" s="49" t="n">
        <x:v>0.0491304347826087</x:v>
      </x:c>
      <x:c r="N59" s="49" t="n">
        <x:v>0.050869565217391305</x:v>
      </x:c>
      <x:c r="O59" s="49" t="n">
        <x:v>0.052608695652173916</x:v>
      </x:c>
      <x:c r="P59" s="49" t="n">
        <x:v>0.05434782608695653</x:v>
      </x:c>
      <x:c r="Q59" s="49" t="n">
        <x:v>0.05608695652173913</x:v>
      </x:c>
      <x:c r="R59" s="49" t="n">
        <x:v>0.05782608695652174</x:v>
      </x:c>
      <x:c r="S59" s="49" t="n">
        <x:v>0.059565217391304354</x:v>
      </x:c>
      <x:c r="T59" s="49" t="n">
        <x:v>0.061304347826086965</x:v>
      </x:c>
      <x:c r="U59" s="49" t="n">
        <x:v>0.06304347826086956</x:v>
      </x:c>
      <x:c r="V59" s="49" t="n">
        <x:v>0.06478260869565218</x:v>
      </x:c>
      <x:c r="W59" s="49" t="n">
        <x:v>0.0665217391304348</x:v>
      </x:c>
      <x:c r="X59" s="49" t="n">
        <x:v>0.0682608695652174</x:v>
      </x:c>
      <x:c r="Y59" s="49" t="n">
        <x:v>0.07</x:v>
      </x:c>
    </x:row>
    <x:row r="60" ht="15" hidden="0" customHeight="1">
      <x:c r="A60" t="str">
        <x:v>Product Engagement %</x:v>
      </x:c>
      <x:c r="B60" s="49" t="n">
        <x:v>0.03</x:v>
      </x:c>
      <x:c r="C60" s="49" t="n">
        <x:v>0.033913043478260865</x:v>
      </x:c>
      <x:c r="D60" s="49" t="n">
        <x:v>0.03782608695652174</x:v>
      </x:c>
      <x:c r="E60" s="49" t="n">
        <x:v>0.04173913043478261</x:v>
      </x:c>
      <x:c r="F60" s="49" t="n">
        <x:v>0.04565217391304348</x:v>
      </x:c>
      <x:c r="G60" s="49" t="n">
        <x:v>0.049565217391304345</x:v>
      </x:c>
      <x:c r="H60" s="49" t="n">
        <x:v>0.05347826086956522</x:v>
      </x:c>
      <x:c r="I60" s="49" t="n">
        <x:v>0.057391304347826085</x:v>
      </x:c>
      <x:c r="J60" s="49" t="n">
        <x:v>0.06130434782608695</x:v>
      </x:c>
      <x:c r="K60" s="49" t="n">
        <x:v>0.06521739130434782</x:v>
      </x:c>
      <x:c r="L60" s="49" t="n">
        <x:v>0.06913043478260869</x:v>
      </x:c>
      <x:c r="M60" s="49" t="n">
        <x:v>0.07304347826086957</x:v>
      </x:c>
      <x:c r="N60" s="49" t="n">
        <x:v>0.07695652173913044</x:v>
      </x:c>
      <x:c r="O60" s="49" t="n">
        <x:v>0.0808695652173913</x:v>
      </x:c>
      <x:c r="P60" s="49" t="n">
        <x:v>0.08478260869565217</x:v>
      </x:c>
      <x:c r="Q60" s="49" t="n">
        <x:v>0.08869565217391304</x:v>
      </x:c>
      <x:c r="R60" s="49" t="n">
        <x:v>0.0926086956521739</x:v>
      </x:c>
      <x:c r="S60" s="49" t="n">
        <x:v>0.09652173913043478</x:v>
      </x:c>
      <x:c r="T60" s="49" t="n">
        <x:v>0.10043478260869565</x:v>
      </x:c>
      <x:c r="U60" s="49" t="n">
        <x:v>0.10434782608695652</x:v>
      </x:c>
      <x:c r="V60" s="49" t="n">
        <x:v>0.10826086956521738</x:v>
      </x:c>
      <x:c r="W60" s="49" t="n">
        <x:v>0.11217391304347825</x:v>
      </x:c>
      <x:c r="X60" s="49" t="n">
        <x:v>0.11608695652173913</x:v>
      </x:c>
      <x:c r="Y60" s="49" t="n">
        <x:v>0.12</x:v>
      </x:c>
    </x:row>
    <x:row r="61" ht="15" hidden="0" customHeight="1">
      <x:c r="A61" t="str">
        <x:v>Product Conversion %</x:v>
      </x:c>
      <x:c r="B61" s="49" t="n">
        <x:v>0.05</x:v>
      </x:c>
      <x:c r="C61" s="49" t="n">
        <x:v>0.052173913043478265</x:v>
      </x:c>
      <x:c r="D61" s="49" t="n">
        <x:v>0.05434782608695653</x:v>
      </x:c>
      <x:c r="E61" s="49" t="n">
        <x:v>0.05652173913043479</x:v>
      </x:c>
      <x:c r="F61" s="49" t="n">
        <x:v>0.058695652173913045</x:v>
      </x:c>
      <x:c r="G61" s="49" t="n">
        <x:v>0.06086956521739131</x:v>
      </x:c>
      <x:c r="H61" s="49" t="n">
        <x:v>0.06304347826086958</x:v>
      </x:c>
      <x:c r="I61" s="49" t="n">
        <x:v>0.06521739130434782</x:v>
      </x:c>
      <x:c r="J61" s="49" t="n">
        <x:v>0.06739130434782609</x:v>
      </x:c>
      <x:c r="K61" s="49" t="n">
        <x:v>0.06956521739130435</x:v>
      </x:c>
      <x:c r="L61" s="49" t="n">
        <x:v>0.07173913043478261</x:v>
      </x:c>
      <x:c r="M61" s="49" t="n">
        <x:v>0.07391304347826087</x:v>
      </x:c>
      <x:c r="N61" s="49" t="n">
        <x:v>0.07608695652173914</x:v>
      </x:c>
      <x:c r="O61" s="49" t="n">
        <x:v>0.0782608695652174</x:v>
      </x:c>
      <x:c r="P61" s="49" t="n">
        <x:v>0.08043478260869566</x:v>
      </x:c>
      <x:c r="Q61" s="49" t="n">
        <x:v>0.08260869565217391</x:v>
      </x:c>
      <x:c r="R61" s="49" t="n">
        <x:v>0.08478260869565218</x:v>
      </x:c>
      <x:c r="S61" s="49" t="n">
        <x:v>0.08695652173913043</x:v>
      </x:c>
      <x:c r="T61" s="49" t="n">
        <x:v>0.08913043478260871</x:v>
      </x:c>
      <x:c r="U61" s="49" t="n">
        <x:v>0.09130434782608696</x:v>
      </x:c>
      <x:c r="V61" s="49" t="n">
        <x:v>0.09347826086956522</x:v>
      </x:c>
      <x:c r="W61" s="49" t="n">
        <x:v>0.09565217391304348</x:v>
      </x:c>
      <x:c r="X61" s="49" t="n">
        <x:v>0.09782608695652174</x:v>
      </x:c>
      <x:c r="Y61" s="49" t="n">
        <x:v>0.1</x:v>
      </x:c>
    </x:row>
  </x:sheetData>
  <x:mergeCells>
    <x:mergeCell ref="A1:H1"/>
    <x:mergeCell ref="A2:H2"/>
    <x:mergeCell ref="A52:Y52"/>
  </x:mergeCells>
  <x:pageMargins left="0.7" right="0.7" top="0.75" bottom="0.75" header="0.3" footer="0.3"/>
  <x:legacyDrawing xmlns:r="http://schemas.openxmlformats.org/officeDocument/2006/relationships" r:id="R0a9165df7b4d4c77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22" hidden="0" customWidth="1"/>
    <x:col min="22" max="22" width="22" hidden="0" customWidth="1"/>
    <x:col min="23" max="23" width="22" hidden="0" customWidth="1"/>
    <x:col min="24" max="24" width="22" hidden="0" customWidth="1"/>
    <x:col min="25" max="25" width="22" hidden="0" customWidth="1"/>
  </x:cols>
  <x:sheetData>
    <x:row r="1" ht="19.200000762939453" hidden="0" customHeight="1">
      <x:c r="A1" s="2" t="str">
        <x:v>Marketing &amp; Revenue Pipeline</x:v>
      </x:c>
      <x:c r="B1" s="60"/>
      <x:c r="C1" s="60"/>
      <x:c r="D1" s="60"/>
      <x:c r="E1" s="60"/>
      <x:c r="F1" s="60"/>
      <x:c r="G1" s="60"/>
      <x:c r="H1" s="60"/>
      <x:c r="I1" s="60"/>
      <x:c r="J1" s="60"/>
      <x:c r="K1" s="60"/>
      <x:c r="L1" s="60"/>
      <x:c r="M1" s="60"/>
      <x:c r="N1" s="60"/>
      <x:c r="O1" s="60"/>
      <x:c r="P1" s="60"/>
      <x:c r="Q1" s="60"/>
      <x:c r="R1" s="60"/>
      <x:c r="S1" s="60"/>
      <x:c r="T1" s="60"/>
      <x:c r="U1" s="60"/>
      <x:c r="V1" s="60"/>
      <x:c r="W1" s="60"/>
      <x:c r="X1" s="60"/>
      <x:c r="Y1" s="60"/>
      <x:c r="Z1" s="1"/>
      <x:c r="AA1" s="1"/>
    </x:row>
    <x:row r="2" ht="15" hidden="0" customHeight="1">
      <x:c r="A2" s="4" t="str">
        <x:v>Monthly user acquisition, channel spend, monetisation funnel and revenue by stream.</x:v>
      </x:c>
    </x:row>
    <x:row r="3"/>
    <x:row r="4" ht="15" hidden="0" customHeight="1">
      <x:c r="A4" s="50" t="str">
        <x:v>Metric</x:v>
      </x:c>
      <x:c r="B4" s="51" t="str">
        <x:v>M1</x:v>
      </x:c>
      <x:c r="C4" s="51" t="str">
        <x:v>M2</x:v>
      </x:c>
      <x:c r="D4" s="51" t="str">
        <x:v>M3</x:v>
      </x:c>
      <x:c r="E4" s="51" t="str">
        <x:v>M4</x:v>
      </x:c>
      <x:c r="F4" s="51" t="str">
        <x:v>M5</x:v>
      </x:c>
      <x:c r="G4" s="51" t="str">
        <x:v>M6</x:v>
      </x:c>
      <x:c r="H4" s="51" t="str">
        <x:v>M7</x:v>
      </x:c>
      <x:c r="I4" s="51" t="str">
        <x:v>M8</x:v>
      </x:c>
      <x:c r="J4" s="51" t="str">
        <x:v>M9</x:v>
      </x:c>
      <x:c r="K4" s="51" t="str">
        <x:v>M10</x:v>
      </x:c>
      <x:c r="L4" s="51" t="str">
        <x:v>M11</x:v>
      </x:c>
      <x:c r="M4" s="51" t="str">
        <x:v>M12</x:v>
      </x:c>
      <x:c r="N4" s="51" t="str">
        <x:v>M13</x:v>
      </x:c>
      <x:c r="O4" s="51" t="str">
        <x:v>M14</x:v>
      </x:c>
      <x:c r="P4" s="51" t="str">
        <x:v>M15</x:v>
      </x:c>
      <x:c r="Q4" s="51" t="str">
        <x:v>M16</x:v>
      </x:c>
      <x:c r="R4" s="51" t="str">
        <x:v>M17</x:v>
      </x:c>
      <x:c r="S4" s="51" t="str">
        <x:v>M18</x:v>
      </x:c>
      <x:c r="T4" s="51" t="str">
        <x:v>M19</x:v>
      </x:c>
      <x:c r="U4" s="51" t="str">
        <x:v>M20</x:v>
      </x:c>
      <x:c r="V4" s="51" t="str">
        <x:v>M21</x:v>
      </x:c>
      <x:c r="W4" s="51" t="str">
        <x:v>M22</x:v>
      </x:c>
      <x:c r="X4" s="51" t="str">
        <x:v>M23</x:v>
      </x:c>
      <x:c r="Y4" s="52" t="str">
        <x:v>M24</x:v>
      </x:c>
    </x:row>
    <x:row r="5" ht="15" hidden="0" customHeight="1">
      <x:c r="A5" s="53" t="str">
        <x:v>Acquisition Target</x:v>
      </x:c>
      <x:c r="B5" s="54" t="str">
        <x:v>Acquisition Target</x:v>
      </x:c>
      <x:c r="C5" s="54" t="str">
        <x:v>Acquisition Target</x:v>
      </x:c>
      <x:c r="D5" s="54" t="str">
        <x:v>Acquisition Target</x:v>
      </x:c>
      <x:c r="E5" s="54" t="str">
        <x:v>Acquisition Target</x:v>
      </x:c>
      <x:c r="F5" s="54" t="str">
        <x:v>Acquisition Target</x:v>
      </x:c>
      <x:c r="G5" s="54" t="str">
        <x:v>Acquisition Target</x:v>
      </x:c>
      <x:c r="H5" s="54" t="str">
        <x:v>Acquisition Target</x:v>
      </x:c>
      <x:c r="I5" s="54" t="str">
        <x:v>Acquisition Target</x:v>
      </x:c>
      <x:c r="J5" s="54" t="str">
        <x:v>Acquisition Target</x:v>
      </x:c>
      <x:c r="K5" s="54" t="str">
        <x:v>Acquisition Target</x:v>
      </x:c>
      <x:c r="L5" s="54" t="str">
        <x:v>Acquisition Target</x:v>
      </x:c>
      <x:c r="M5" s="54" t="str">
        <x:v>Acquisition Target</x:v>
      </x:c>
      <x:c r="N5" s="54" t="str">
        <x:v>Acquisition Target</x:v>
      </x:c>
      <x:c r="O5" s="54" t="str">
        <x:v>Acquisition Target</x:v>
      </x:c>
      <x:c r="P5" s="54" t="str">
        <x:v>Acquisition Target</x:v>
      </x:c>
      <x:c r="Q5" s="54" t="str">
        <x:v>Acquisition Target</x:v>
      </x:c>
      <x:c r="R5" s="54" t="str">
        <x:v>Acquisition Target</x:v>
      </x:c>
      <x:c r="S5" s="54" t="str">
        <x:v>Acquisition Target</x:v>
      </x:c>
      <x:c r="T5" s="54" t="str">
        <x:v>Acquisition Target</x:v>
      </x:c>
      <x:c r="U5" s="54" t="str">
        <x:v>Acquisition Target</x:v>
      </x:c>
      <x:c r="V5" s="54" t="str">
        <x:v>Acquisition Target</x:v>
      </x:c>
      <x:c r="W5" s="54" t="str">
        <x:v>Acquisition Target</x:v>
      </x:c>
      <x:c r="X5" s="54" t="str">
        <x:v>Acquisition Target</x:v>
      </x:c>
      <x:c r="Y5" s="55" t="str">
        <x:v>Acquisition Target</x:v>
      </x:c>
    </x:row>
    <x:row r="6" ht="15" hidden="0" customHeight="1">
      <x:c r="A6" s="56" t="str">
        <x:v>Target New Registered Users</x:v>
      </x:c>
      <x:c r="B6" s="61" t="n">
        <x:f>'Assumptions'!B54</x:f>
        <x:v>250</x:v>
      </x:c>
      <x:c r="C6" s="61" t="n">
        <x:f>'Assumptions'!C54</x:f>
        <x:v>350</x:v>
      </x:c>
      <x:c r="D6" s="61" t="n">
        <x:f>'Assumptions'!D54</x:f>
        <x:v>400</x:v>
      </x:c>
      <x:c r="E6" s="61" t="n">
        <x:f>'Assumptions'!E54</x:f>
        <x:v>350</x:v>
      </x:c>
      <x:c r="F6" s="61" t="n">
        <x:f>'Assumptions'!F54</x:f>
        <x:v>375</x:v>
      </x:c>
      <x:c r="G6" s="61" t="n">
        <x:f>'Assumptions'!G54</x:f>
        <x:v>400</x:v>
      </x:c>
      <x:c r="H6" s="61" t="n">
        <x:f>'Assumptions'!H54</x:f>
        <x:v>425</x:v>
      </x:c>
      <x:c r="I6" s="61" t="n">
        <x:f>'Assumptions'!I54</x:f>
        <x:v>450</x:v>
      </x:c>
      <x:c r="J6" s="61" t="n">
        <x:f>'Assumptions'!J54</x:f>
        <x:v>475</x:v>
      </x:c>
      <x:c r="K6" s="61" t="n">
        <x:f>'Assumptions'!K54</x:f>
        <x:v>500</x:v>
      </x:c>
      <x:c r="L6" s="61" t="n">
        <x:f>'Assumptions'!L54</x:f>
        <x:v>500</x:v>
      </x:c>
      <x:c r="M6" s="61" t="n">
        <x:f>'Assumptions'!M54</x:f>
        <x:v>525</x:v>
      </x:c>
      <x:c r="N6" s="61" t="n">
        <x:f>'Assumptions'!N54</x:f>
        <x:v>650</x:v>
      </x:c>
      <x:c r="O6" s="61" t="n">
        <x:f>'Assumptions'!O54</x:f>
        <x:v>750</x:v>
      </x:c>
      <x:c r="P6" s="61" t="n">
        <x:f>'Assumptions'!P54</x:f>
        <x:v>800</x:v>
      </x:c>
      <x:c r="Q6" s="61" t="n">
        <x:f>'Assumptions'!Q54</x:f>
        <x:v>850</x:v>
      </x:c>
      <x:c r="R6" s="61" t="n">
        <x:f>'Assumptions'!R54</x:f>
        <x:v>950</x:v>
      </x:c>
      <x:c r="S6" s="61" t="n">
        <x:f>'Assumptions'!S54</x:f>
        <x:v>1000</x:v>
      </x:c>
      <x:c r="T6" s="61" t="n">
        <x:f>'Assumptions'!T54</x:f>
        <x:v>750</x:v>
      </x:c>
      <x:c r="U6" s="61" t="n">
        <x:f>'Assumptions'!U54</x:f>
        <x:v>800</x:v>
      </x:c>
      <x:c r="V6" s="61" t="n">
        <x:f>'Assumptions'!V54</x:f>
        <x:v>850</x:v>
      </x:c>
      <x:c r="W6" s="61" t="n">
        <x:f>'Assumptions'!W54</x:f>
        <x:v>850</x:v>
      </x:c>
      <x:c r="X6" s="61" t="n">
        <x:f>'Assumptions'!X54</x:f>
        <x:v>875</x:v>
      </x:c>
      <x:c r="Y6" s="62" t="n">
        <x:f>'Assumptions'!Y54</x:f>
        <x:v>875</x:v>
      </x:c>
    </x:row>
    <x:row r="7" ht="15" hidden="0" customHeight="1">
      <x:c r="A7" s="56" t="str">
        <x:v>Target Cumulative Registered Users</x:v>
      </x:c>
      <x:c r="B7" s="61" t="n">
        <x:f>'Assumptions'!B55</x:f>
        <x:v>250</x:v>
      </x:c>
      <x:c r="C7" s="61" t="n">
        <x:f>'Assumptions'!C55</x:f>
        <x:v>600</x:v>
      </x:c>
      <x:c r="D7" s="61" t="n">
        <x:f>'Assumptions'!D55</x:f>
        <x:v>1000</x:v>
      </x:c>
      <x:c r="E7" s="61" t="n">
        <x:f>'Assumptions'!E55</x:f>
        <x:v>1350</x:v>
      </x:c>
      <x:c r="F7" s="61" t="n">
        <x:f>'Assumptions'!F55</x:f>
        <x:v>1725</x:v>
      </x:c>
      <x:c r="G7" s="61" t="n">
        <x:f>'Assumptions'!G55</x:f>
        <x:v>2125</x:v>
      </x:c>
      <x:c r="H7" s="61" t="n">
        <x:f>'Assumptions'!H55</x:f>
        <x:v>2550</x:v>
      </x:c>
      <x:c r="I7" s="61" t="n">
        <x:f>'Assumptions'!I55</x:f>
        <x:v>3000</x:v>
      </x:c>
      <x:c r="J7" s="61" t="n">
        <x:f>'Assumptions'!J55</x:f>
        <x:v>3475</x:v>
      </x:c>
      <x:c r="K7" s="61" t="n">
        <x:f>'Assumptions'!K55</x:f>
        <x:v>3975</x:v>
      </x:c>
      <x:c r="L7" s="61" t="n">
        <x:f>'Assumptions'!L55</x:f>
        <x:v>4475</x:v>
      </x:c>
      <x:c r="M7" s="61" t="n">
        <x:f>'Assumptions'!M55</x:f>
        <x:v>5000</x:v>
      </x:c>
      <x:c r="N7" s="61" t="n">
        <x:f>'Assumptions'!N55</x:f>
        <x:v>5650</x:v>
      </x:c>
      <x:c r="O7" s="61" t="n">
        <x:f>'Assumptions'!O55</x:f>
        <x:v>6400</x:v>
      </x:c>
      <x:c r="P7" s="61" t="n">
        <x:f>'Assumptions'!P55</x:f>
        <x:v>7200</x:v>
      </x:c>
      <x:c r="Q7" s="61" t="n">
        <x:f>'Assumptions'!Q55</x:f>
        <x:v>8050</x:v>
      </x:c>
      <x:c r="R7" s="61" t="n">
        <x:f>'Assumptions'!R55</x:f>
        <x:v>9000</x:v>
      </x:c>
      <x:c r="S7" s="61" t="n">
        <x:f>'Assumptions'!S55</x:f>
        <x:v>10000</x:v>
      </x:c>
      <x:c r="T7" s="61" t="n">
        <x:f>'Assumptions'!T55</x:f>
        <x:v>10750</x:v>
      </x:c>
      <x:c r="U7" s="61" t="n">
        <x:f>'Assumptions'!U55</x:f>
        <x:v>11550</x:v>
      </x:c>
      <x:c r="V7" s="61" t="n">
        <x:f>'Assumptions'!V55</x:f>
        <x:v>12400</x:v>
      </x:c>
      <x:c r="W7" s="61" t="n">
        <x:f>'Assumptions'!W55</x:f>
        <x:v>13250</x:v>
      </x:c>
      <x:c r="X7" s="61" t="n">
        <x:f>'Assumptions'!X55</x:f>
        <x:v>14125</x:v>
      </x:c>
      <x:c r="Y7" s="62" t="n">
        <x:f>'Assumptions'!Y55</x:f>
        <x:v>15000</x:v>
      </x:c>
    </x:row>
    <x:row r="8" ht="15" hidden="0" customHeight="1">
      <x:c r="A8" s="53" t="str">
        <x:v>Analyst / B2B2C Acquisition</x:v>
      </x:c>
      <x:c r="B8" s="63" t="str">
        <x:v>Analyst / B2B2C Acquisition</x:v>
      </x:c>
      <x:c r="C8" s="63" t="str">
        <x:v>Analyst / B2B2C Acquisition</x:v>
      </x:c>
      <x:c r="D8" s="63" t="str">
        <x:v>Analyst / B2B2C Acquisition</x:v>
      </x:c>
      <x:c r="E8" s="63" t="str">
        <x:v>Analyst / B2B2C Acquisition</x:v>
      </x:c>
      <x:c r="F8" s="63" t="str">
        <x:v>Analyst / B2B2C Acquisition</x:v>
      </x:c>
      <x:c r="G8" s="63" t="str">
        <x:v>Analyst / B2B2C Acquisition</x:v>
      </x:c>
      <x:c r="H8" s="63" t="str">
        <x:v>Analyst / B2B2C Acquisition</x:v>
      </x:c>
      <x:c r="I8" s="63" t="str">
        <x:v>Analyst / B2B2C Acquisition</x:v>
      </x:c>
      <x:c r="J8" s="63" t="str">
        <x:v>Analyst / B2B2C Acquisition</x:v>
      </x:c>
      <x:c r="K8" s="63" t="str">
        <x:v>Analyst / B2B2C Acquisition</x:v>
      </x:c>
      <x:c r="L8" s="63" t="str">
        <x:v>Analyst / B2B2C Acquisition</x:v>
      </x:c>
      <x:c r="M8" s="63" t="str">
        <x:v>Analyst / B2B2C Acquisition</x:v>
      </x:c>
      <x:c r="N8" s="63" t="str">
        <x:v>Analyst / B2B2C Acquisition</x:v>
      </x:c>
      <x:c r="O8" s="63" t="str">
        <x:v>Analyst / B2B2C Acquisition</x:v>
      </x:c>
      <x:c r="P8" s="63" t="str">
        <x:v>Analyst / B2B2C Acquisition</x:v>
      </x:c>
      <x:c r="Q8" s="63" t="str">
        <x:v>Analyst / B2B2C Acquisition</x:v>
      </x:c>
      <x:c r="R8" s="63" t="str">
        <x:v>Analyst / B2B2C Acquisition</x:v>
      </x:c>
      <x:c r="S8" s="63" t="str">
        <x:v>Analyst / B2B2C Acquisition</x:v>
      </x:c>
      <x:c r="T8" s="63" t="str">
        <x:v>Analyst / B2B2C Acquisition</x:v>
      </x:c>
      <x:c r="U8" s="63" t="str">
        <x:v>Analyst / B2B2C Acquisition</x:v>
      </x:c>
      <x:c r="V8" s="63" t="str">
        <x:v>Analyst / B2B2C Acquisition</x:v>
      </x:c>
      <x:c r="W8" s="63" t="str">
        <x:v>Analyst / B2B2C Acquisition</x:v>
      </x:c>
      <x:c r="X8" s="63" t="str">
        <x:v>Analyst / B2B2C Acquisition</x:v>
      </x:c>
      <x:c r="Y8" s="64" t="str">
        <x:v>Analyst / B2B2C Acquisition</x:v>
      </x:c>
    </x:row>
    <x:row r="9" ht="15" hidden="0" customHeight="1">
      <x:c r="A9" s="56" t="str">
        <x:v>New Analysts Onboarded</x:v>
      </x:c>
      <x:c r="B9" s="61" t="n">
        <x:f>IF(COLUMN()-1&lt;=3,'Assumptions'!$C$9,IF(COLUMN()-1&lt;=18,'Assumptions'!$C$10,'Assumptions'!$C$11))</x:f>
        <x:v>3</x:v>
      </x:c>
      <x:c r="C9" s="61" t="n">
        <x:f>IF(COLUMN()-1&lt;=3,'Assumptions'!$C$9,IF(COLUMN()-1&lt;=18,'Assumptions'!$C$10,'Assumptions'!$C$11))</x:f>
        <x:v>3</x:v>
      </x:c>
      <x:c r="D9" s="61" t="n">
        <x:f>IF(COLUMN()-1&lt;=3,'Assumptions'!$C$9,IF(COLUMN()-1&lt;=18,'Assumptions'!$C$10,'Assumptions'!$C$11))</x:f>
        <x:v>3</x:v>
      </x:c>
      <x:c r="E9" s="61" t="n">
        <x:f>IF(COLUMN()-1&lt;=3,'Assumptions'!$C$9,IF(COLUMN()-1&lt;=18,'Assumptions'!$C$10,'Assumptions'!$C$11))</x:f>
        <x:v>5</x:v>
      </x:c>
      <x:c r="F9" s="61" t="n">
        <x:f>IF(COLUMN()-1&lt;=3,'Assumptions'!$C$9,IF(COLUMN()-1&lt;=18,'Assumptions'!$C$10,'Assumptions'!$C$11))</x:f>
        <x:v>5</x:v>
      </x:c>
      <x:c r="G9" s="61" t="n">
        <x:f>IF(COLUMN()-1&lt;=3,'Assumptions'!$C$9,IF(COLUMN()-1&lt;=18,'Assumptions'!$C$10,'Assumptions'!$C$11))</x:f>
        <x:v>5</x:v>
      </x:c>
      <x:c r="H9" s="61" t="n">
        <x:f>IF(COLUMN()-1&lt;=3,'Assumptions'!$C$9,IF(COLUMN()-1&lt;=18,'Assumptions'!$C$10,'Assumptions'!$C$11))</x:f>
        <x:v>5</x:v>
      </x:c>
      <x:c r="I9" s="61" t="n">
        <x:f>IF(COLUMN()-1&lt;=3,'Assumptions'!$C$9,IF(COLUMN()-1&lt;=18,'Assumptions'!$C$10,'Assumptions'!$C$11))</x:f>
        <x:v>5</x:v>
      </x:c>
      <x:c r="J9" s="61" t="n">
        <x:f>IF(COLUMN()-1&lt;=3,'Assumptions'!$C$9,IF(COLUMN()-1&lt;=18,'Assumptions'!$C$10,'Assumptions'!$C$11))</x:f>
        <x:v>5</x:v>
      </x:c>
      <x:c r="K9" s="61" t="n">
        <x:f>IF(COLUMN()-1&lt;=3,'Assumptions'!$C$9,IF(COLUMN()-1&lt;=18,'Assumptions'!$C$10,'Assumptions'!$C$11))</x:f>
        <x:v>5</x:v>
      </x:c>
      <x:c r="L9" s="61" t="n">
        <x:f>IF(COLUMN()-1&lt;=3,'Assumptions'!$C$9,IF(COLUMN()-1&lt;=18,'Assumptions'!$C$10,'Assumptions'!$C$11))</x:f>
        <x:v>5</x:v>
      </x:c>
      <x:c r="M9" s="61" t="n">
        <x:f>IF(COLUMN()-1&lt;=3,'Assumptions'!$C$9,IF(COLUMN()-1&lt;=18,'Assumptions'!$C$10,'Assumptions'!$C$11))</x:f>
        <x:v>5</x:v>
      </x:c>
      <x:c r="N9" s="61" t="n">
        <x:f>IF(COLUMN()-1&lt;=3,'Assumptions'!$C$9,IF(COLUMN()-1&lt;=18,'Assumptions'!$C$10,'Assumptions'!$C$11))</x:f>
        <x:v>5</x:v>
      </x:c>
      <x:c r="O9" s="61" t="n">
        <x:f>IF(COLUMN()-1&lt;=3,'Assumptions'!$C$9,IF(COLUMN()-1&lt;=18,'Assumptions'!$C$10,'Assumptions'!$C$11))</x:f>
        <x:v>5</x:v>
      </x:c>
      <x:c r="P9" s="61" t="n">
        <x:f>IF(COLUMN()-1&lt;=3,'Assumptions'!$C$9,IF(COLUMN()-1&lt;=18,'Assumptions'!$C$10,'Assumptions'!$C$11))</x:f>
        <x:v>5</x:v>
      </x:c>
      <x:c r="Q9" s="61" t="n">
        <x:f>IF(COLUMN()-1&lt;=3,'Assumptions'!$C$9,IF(COLUMN()-1&lt;=18,'Assumptions'!$C$10,'Assumptions'!$C$11))</x:f>
        <x:v>5</x:v>
      </x:c>
      <x:c r="R9" s="61" t="n">
        <x:f>IF(COLUMN()-1&lt;=3,'Assumptions'!$C$9,IF(COLUMN()-1&lt;=18,'Assumptions'!$C$10,'Assumptions'!$C$11))</x:f>
        <x:v>5</x:v>
      </x:c>
      <x:c r="S9" s="61" t="n">
        <x:f>IF(COLUMN()-1&lt;=3,'Assumptions'!$C$9,IF(COLUMN()-1&lt;=18,'Assumptions'!$C$10,'Assumptions'!$C$11))</x:f>
        <x:v>5</x:v>
      </x:c>
      <x:c r="T9" s="61" t="n">
        <x:f>IF(COLUMN()-1&lt;=3,'Assumptions'!$C$9,IF(COLUMN()-1&lt;=18,'Assumptions'!$C$10,'Assumptions'!$C$11))</x:f>
        <x:v>1</x:v>
      </x:c>
      <x:c r="U9" s="61" t="n">
        <x:f>IF(COLUMN()-1&lt;=3,'Assumptions'!$C$9,IF(COLUMN()-1&lt;=18,'Assumptions'!$C$10,'Assumptions'!$C$11))</x:f>
        <x:v>1</x:v>
      </x:c>
      <x:c r="V9" s="61" t="n">
        <x:f>IF(COLUMN()-1&lt;=3,'Assumptions'!$C$9,IF(COLUMN()-1&lt;=18,'Assumptions'!$C$10,'Assumptions'!$C$11))</x:f>
        <x:v>1</x:v>
      </x:c>
      <x:c r="W9" s="61" t="n">
        <x:f>IF(COLUMN()-1&lt;=3,'Assumptions'!$C$9,IF(COLUMN()-1&lt;=18,'Assumptions'!$C$10,'Assumptions'!$C$11))</x:f>
        <x:v>1</x:v>
      </x:c>
      <x:c r="X9" s="61" t="n">
        <x:f>IF(COLUMN()-1&lt;=3,'Assumptions'!$C$9,IF(COLUMN()-1&lt;=18,'Assumptions'!$C$10,'Assumptions'!$C$11))</x:f>
        <x:v>1</x:v>
      </x:c>
      <x:c r="Y9" s="62" t="n">
        <x:f>IF(COLUMN()-1&lt;=3,'Assumptions'!$C$9,IF(COLUMN()-1&lt;=18,'Assumptions'!$C$10,'Assumptions'!$C$11))</x:f>
        <x:v>1</x:v>
      </x:c>
    </x:row>
    <x:row r="10" ht="15" hidden="0" customHeight="1">
      <x:c r="A10" s="56" t="str">
        <x:v>Cumulative Analysts</x:v>
      </x:c>
      <x:c r="B10" s="61" t="n">
        <x:f>SUM($B$9:B9)</x:f>
        <x:v>3</x:v>
      </x:c>
      <x:c r="C10" s="61" t="n">
        <x:f>SUM($B$9:C9)</x:f>
        <x:v>6</x:v>
      </x:c>
      <x:c r="D10" s="61" t="n">
        <x:f>SUM($B$9:D9)</x:f>
        <x:v>9</x:v>
      </x:c>
      <x:c r="E10" s="61" t="n">
        <x:f>SUM($B$9:E9)</x:f>
        <x:v>14</x:v>
      </x:c>
      <x:c r="F10" s="61" t="n">
        <x:f>SUM($B$9:F9)</x:f>
        <x:v>19</x:v>
      </x:c>
      <x:c r="G10" s="61" t="n">
        <x:f>SUM($B$9:G9)</x:f>
        <x:v>24</x:v>
      </x:c>
      <x:c r="H10" s="61" t="n">
        <x:f>SUM($B$9:H9)</x:f>
        <x:v>29</x:v>
      </x:c>
      <x:c r="I10" s="61" t="n">
        <x:f>SUM($B$9:I9)</x:f>
        <x:v>34</x:v>
      </x:c>
      <x:c r="J10" s="61" t="n">
        <x:f>SUM($B$9:J9)</x:f>
        <x:v>39</x:v>
      </x:c>
      <x:c r="K10" s="61" t="n">
        <x:f>SUM($B$9:K9)</x:f>
        <x:v>44</x:v>
      </x:c>
      <x:c r="L10" s="61" t="n">
        <x:f>SUM($B$9:L9)</x:f>
        <x:v>49</x:v>
      </x:c>
      <x:c r="M10" s="61" t="n">
        <x:f>SUM($B$9:M9)</x:f>
        <x:v>54</x:v>
      </x:c>
      <x:c r="N10" s="61" t="n">
        <x:f>SUM($B$9:N9)</x:f>
        <x:v>59</x:v>
      </x:c>
      <x:c r="O10" s="61" t="n">
        <x:f>SUM($B$9:O9)</x:f>
        <x:v>64</x:v>
      </x:c>
      <x:c r="P10" s="61" t="n">
        <x:f>SUM($B$9:P9)</x:f>
        <x:v>69</x:v>
      </x:c>
      <x:c r="Q10" s="61" t="n">
        <x:f>SUM($B$9:Q9)</x:f>
        <x:v>74</x:v>
      </x:c>
      <x:c r="R10" s="61" t="n">
        <x:f>SUM($B$9:R9)</x:f>
        <x:v>79</x:v>
      </x:c>
      <x:c r="S10" s="61" t="n">
        <x:f>SUM($B$9:S9)</x:f>
        <x:v>84</x:v>
      </x:c>
      <x:c r="T10" s="61" t="n">
        <x:f>SUM($B$9:T9)</x:f>
        <x:v>85</x:v>
      </x:c>
      <x:c r="U10" s="61" t="n">
        <x:f>SUM($B$9:U9)</x:f>
        <x:v>86</x:v>
      </x:c>
      <x:c r="V10" s="61" t="n">
        <x:f>SUM($B$9:V9)</x:f>
        <x:v>87</x:v>
      </x:c>
      <x:c r="W10" s="61" t="n">
        <x:f>SUM($B$9:W9)</x:f>
        <x:v>88</x:v>
      </x:c>
      <x:c r="X10" s="61" t="n">
        <x:f>SUM($B$9:X9)</x:f>
        <x:v>89</x:v>
      </x:c>
      <x:c r="Y10" s="62" t="n">
        <x:f>SUM($B$9:Y9)</x:f>
        <x:v>90</x:v>
      </x:c>
    </x:row>
    <x:row r="11" ht="15" hidden="0" customHeight="1">
      <x:c r="A11" s="56" t="str">
        <x:v>Mature Registration Potential per Analyst</x:v>
      </x:c>
      <x:c r="B11" s="61" t="n">
        <x:f>'Assumptions'!$C$12*'Assumptions'!$C$13</x:f>
        <x:v>80</x:v>
      </x:c>
      <x:c r="C11" s="61" t="n">
        <x:f>'Assumptions'!$C$12*'Assumptions'!$C$13</x:f>
        <x:v>80</x:v>
      </x:c>
      <x:c r="D11" s="61" t="n">
        <x:f>'Assumptions'!$C$12*'Assumptions'!$C$13</x:f>
        <x:v>80</x:v>
      </x:c>
      <x:c r="E11" s="61" t="n">
        <x:f>'Assumptions'!$C$12*'Assumptions'!$C$13</x:f>
        <x:v>80</x:v>
      </x:c>
      <x:c r="F11" s="61" t="n">
        <x:f>'Assumptions'!$C$12*'Assumptions'!$C$13</x:f>
        <x:v>80</x:v>
      </x:c>
      <x:c r="G11" s="61" t="n">
        <x:f>'Assumptions'!$C$12*'Assumptions'!$C$13</x:f>
        <x:v>80</x:v>
      </x:c>
      <x:c r="H11" s="61" t="n">
        <x:f>'Assumptions'!$C$12*'Assumptions'!$C$13</x:f>
        <x:v>80</x:v>
      </x:c>
      <x:c r="I11" s="61" t="n">
        <x:f>'Assumptions'!$C$12*'Assumptions'!$C$13</x:f>
        <x:v>80</x:v>
      </x:c>
      <x:c r="J11" s="61" t="n">
        <x:f>'Assumptions'!$C$12*'Assumptions'!$C$13</x:f>
        <x:v>80</x:v>
      </x:c>
      <x:c r="K11" s="61" t="n">
        <x:f>'Assumptions'!$C$12*'Assumptions'!$C$13</x:f>
        <x:v>80</x:v>
      </x:c>
      <x:c r="L11" s="61" t="n">
        <x:f>'Assumptions'!$C$12*'Assumptions'!$C$13</x:f>
        <x:v>80</x:v>
      </x:c>
      <x:c r="M11" s="61" t="n">
        <x:f>'Assumptions'!$C$12*'Assumptions'!$C$13</x:f>
        <x:v>80</x:v>
      </x:c>
      <x:c r="N11" s="61" t="n">
        <x:f>'Assumptions'!$C$12*'Assumptions'!$C$13</x:f>
        <x:v>80</x:v>
      </x:c>
      <x:c r="O11" s="61" t="n">
        <x:f>'Assumptions'!$C$12*'Assumptions'!$C$13</x:f>
        <x:v>80</x:v>
      </x:c>
      <x:c r="P11" s="61" t="n">
        <x:f>'Assumptions'!$C$12*'Assumptions'!$C$13</x:f>
        <x:v>80</x:v>
      </x:c>
      <x:c r="Q11" s="61" t="n">
        <x:f>'Assumptions'!$C$12*'Assumptions'!$C$13</x:f>
        <x:v>80</x:v>
      </x:c>
      <x:c r="R11" s="61" t="n">
        <x:f>'Assumptions'!$C$12*'Assumptions'!$C$13</x:f>
        <x:v>80</x:v>
      </x:c>
      <x:c r="S11" s="61" t="n">
        <x:f>'Assumptions'!$C$12*'Assumptions'!$C$13</x:f>
        <x:v>80</x:v>
      </x:c>
      <x:c r="T11" s="61" t="n">
        <x:f>'Assumptions'!$C$12*'Assumptions'!$C$13</x:f>
        <x:v>80</x:v>
      </x:c>
      <x:c r="U11" s="61" t="n">
        <x:f>'Assumptions'!$C$12*'Assumptions'!$C$13</x:f>
        <x:v>80</x:v>
      </x:c>
      <x:c r="V11" s="61" t="n">
        <x:f>'Assumptions'!$C$12*'Assumptions'!$C$13</x:f>
        <x:v>80</x:v>
      </x:c>
      <x:c r="W11" s="61" t="n">
        <x:f>'Assumptions'!$C$12*'Assumptions'!$C$13</x:f>
        <x:v>80</x:v>
      </x:c>
      <x:c r="X11" s="61" t="n">
        <x:f>'Assumptions'!$C$12*'Assumptions'!$C$13</x:f>
        <x:v>80</x:v>
      </x:c>
      <x:c r="Y11" s="62" t="n">
        <x:f>'Assumptions'!$C$12*'Assumptions'!$C$13</x:f>
        <x:v>80</x:v>
      </x:c>
    </x:row>
    <x:row r="12" ht="15" hidden="0" customHeight="1">
      <x:c r="A12" s="56" t="str">
        <x:v>New Analyst Registrations</x:v>
      </x:c>
      <x:c r="B12" s="61" t="n">
        <x:f>B11*('Assumptions'!$C$14*B9+'Assumptions'!$C$15*0+'Assumptions'!$C$16*0)</x:f>
        <x:v>72</x:v>
      </x:c>
      <x:c r="C12" s="61" t="n">
        <x:f>C11*('Assumptions'!$C$14*C9+'Assumptions'!$C$15*B9+'Assumptions'!$C$16*0)</x:f>
        <x:v>168</x:v>
      </x:c>
      <x:c r="D12" s="61" t="n">
        <x:f>D11*('Assumptions'!$C$14*D9+'Assumptions'!$C$15*C9+'Assumptions'!$C$16*B9)</x:f>
        <x:v>240</x:v>
      </x:c>
      <x:c r="E12" s="61" t="n">
        <x:f>E11*('Assumptions'!$C$14*E9+'Assumptions'!$C$15*D9+'Assumptions'!$C$16*C9)</x:f>
        <x:v>288</x:v>
      </x:c>
      <x:c r="F12" s="61" t="n">
        <x:f>F11*('Assumptions'!$C$14*F9+'Assumptions'!$C$15*E9+'Assumptions'!$C$16*D9)</x:f>
        <x:v>352</x:v>
      </x:c>
      <x:c r="G12" s="61" t="n">
        <x:f>G11*('Assumptions'!$C$14*G9+'Assumptions'!$C$15*F9+'Assumptions'!$C$16*E9)</x:f>
        <x:v>400</x:v>
      </x:c>
      <x:c r="H12" s="61" t="n">
        <x:f>H11*('Assumptions'!$C$14*H9+'Assumptions'!$C$15*G9+'Assumptions'!$C$16*F9)</x:f>
        <x:v>400</x:v>
      </x:c>
      <x:c r="I12" s="61" t="n">
        <x:f>I11*('Assumptions'!$C$14*I9+'Assumptions'!$C$15*H9+'Assumptions'!$C$16*G9)</x:f>
        <x:v>400</x:v>
      </x:c>
      <x:c r="J12" s="61" t="n">
        <x:f>J11*('Assumptions'!$C$14*J9+'Assumptions'!$C$15*I9+'Assumptions'!$C$16*H9)</x:f>
        <x:v>400</x:v>
      </x:c>
      <x:c r="K12" s="61" t="n">
        <x:f>K11*('Assumptions'!$C$14*K9+'Assumptions'!$C$15*J9+'Assumptions'!$C$16*I9)</x:f>
        <x:v>400</x:v>
      </x:c>
      <x:c r="L12" s="61" t="n">
        <x:f>L11*('Assumptions'!$C$14*L9+'Assumptions'!$C$15*K9+'Assumptions'!$C$16*J9)</x:f>
        <x:v>400</x:v>
      </x:c>
      <x:c r="M12" s="61" t="n">
        <x:f>M11*('Assumptions'!$C$14*M9+'Assumptions'!$C$15*L9+'Assumptions'!$C$16*K9)</x:f>
        <x:v>400</x:v>
      </x:c>
      <x:c r="N12" s="61" t="n">
        <x:f>N11*('Assumptions'!$C$14*N9+'Assumptions'!$C$15*M9+'Assumptions'!$C$16*L9)</x:f>
        <x:v>400</x:v>
      </x:c>
      <x:c r="O12" s="61" t="n">
        <x:f>O11*('Assumptions'!$C$14*O9+'Assumptions'!$C$15*N9+'Assumptions'!$C$16*M9)</x:f>
        <x:v>400</x:v>
      </x:c>
      <x:c r="P12" s="61" t="n">
        <x:f>P11*('Assumptions'!$C$14*P9+'Assumptions'!$C$15*O9+'Assumptions'!$C$16*N9)</x:f>
        <x:v>400</x:v>
      </x:c>
      <x:c r="Q12" s="61" t="n">
        <x:f>Q11*('Assumptions'!$C$14*Q9+'Assumptions'!$C$15*P9+'Assumptions'!$C$16*O9)</x:f>
        <x:v>400</x:v>
      </x:c>
      <x:c r="R12" s="61" t="n">
        <x:f>R11*('Assumptions'!$C$14*R9+'Assumptions'!$C$15*Q9+'Assumptions'!$C$16*P9)</x:f>
        <x:v>400</x:v>
      </x:c>
      <x:c r="S12" s="61" t="n">
        <x:f>S11*('Assumptions'!$C$14*S9+'Assumptions'!$C$15*R9+'Assumptions'!$C$16*Q9)</x:f>
        <x:v>400</x:v>
      </x:c>
      <x:c r="T12" s="61" t="n">
        <x:f>T11*('Assumptions'!$C$14*T9+'Assumptions'!$C$15*S9+'Assumptions'!$C$16*R9)</x:f>
        <x:v>304</x:v>
      </x:c>
      <x:c r="U12" s="61" t="n">
        <x:f>U11*('Assumptions'!$C$14*U9+'Assumptions'!$C$15*T9+'Assumptions'!$C$16*S9)</x:f>
        <x:v>176</x:v>
      </x:c>
      <x:c r="V12" s="61" t="n">
        <x:f>V11*('Assumptions'!$C$14*V9+'Assumptions'!$C$15*U9+'Assumptions'!$C$16*T9)</x:f>
        <x:v>80</x:v>
      </x:c>
      <x:c r="W12" s="61" t="n">
        <x:f>W11*('Assumptions'!$C$14*W9+'Assumptions'!$C$15*V9+'Assumptions'!$C$16*U9)</x:f>
        <x:v>80</x:v>
      </x:c>
      <x:c r="X12" s="61" t="n">
        <x:f>X11*('Assumptions'!$C$14*X9+'Assumptions'!$C$15*W9+'Assumptions'!$C$16*V9)</x:f>
        <x:v>80</x:v>
      </x:c>
      <x:c r="Y12" s="62" t="n">
        <x:f>Y11*('Assumptions'!$C$14*Y9+'Assumptions'!$C$15*X9+'Assumptions'!$C$16*W9)</x:f>
        <x:v>80</x:v>
      </x:c>
    </x:row>
    <x:row r="13" ht="15" hidden="0" customHeight="1">
      <x:c r="A13" s="56" t="str">
        <x:v>Cumulative Analyst Registrations</x:v>
      </x:c>
      <x:c r="B13" s="61" t="n">
        <x:f>SUM($B$12:B12)</x:f>
        <x:v>72</x:v>
      </x:c>
      <x:c r="C13" s="61" t="n">
        <x:f>SUM($B$12:C12)</x:f>
        <x:v>240</x:v>
      </x:c>
      <x:c r="D13" s="61" t="n">
        <x:f>SUM($B$12:D12)</x:f>
        <x:v>480</x:v>
      </x:c>
      <x:c r="E13" s="61" t="n">
        <x:f>SUM($B$12:E12)</x:f>
        <x:v>768</x:v>
      </x:c>
      <x:c r="F13" s="61" t="n">
        <x:f>SUM($B$12:F12)</x:f>
        <x:v>1120</x:v>
      </x:c>
      <x:c r="G13" s="61" t="n">
        <x:f>SUM($B$12:G12)</x:f>
        <x:v>1520</x:v>
      </x:c>
      <x:c r="H13" s="61" t="n">
        <x:f>SUM($B$12:H12)</x:f>
        <x:v>1920</x:v>
      </x:c>
      <x:c r="I13" s="61" t="n">
        <x:f>SUM($B$12:I12)</x:f>
        <x:v>2320</x:v>
      </x:c>
      <x:c r="J13" s="61" t="n">
        <x:f>SUM($B$12:J12)</x:f>
        <x:v>2720</x:v>
      </x:c>
      <x:c r="K13" s="61" t="n">
        <x:f>SUM($B$12:K12)</x:f>
        <x:v>3120</x:v>
      </x:c>
      <x:c r="L13" s="61" t="n">
        <x:f>SUM($B$12:L12)</x:f>
        <x:v>3520</x:v>
      </x:c>
      <x:c r="M13" s="61" t="n">
        <x:f>SUM($B$12:M12)</x:f>
        <x:v>3920</x:v>
      </x:c>
      <x:c r="N13" s="61" t="n">
        <x:f>SUM($B$12:N12)</x:f>
        <x:v>4320</x:v>
      </x:c>
      <x:c r="O13" s="61" t="n">
        <x:f>SUM($B$12:O12)</x:f>
        <x:v>4720</x:v>
      </x:c>
      <x:c r="P13" s="61" t="n">
        <x:f>SUM($B$12:P12)</x:f>
        <x:v>5120</x:v>
      </x:c>
      <x:c r="Q13" s="61" t="n">
        <x:f>SUM($B$12:Q12)</x:f>
        <x:v>5520</x:v>
      </x:c>
      <x:c r="R13" s="61" t="n">
        <x:f>SUM($B$12:R12)</x:f>
        <x:v>5920</x:v>
      </x:c>
      <x:c r="S13" s="61" t="n">
        <x:f>SUM($B$12:S12)</x:f>
        <x:v>6320</x:v>
      </x:c>
      <x:c r="T13" s="61" t="n">
        <x:f>SUM($B$12:T12)</x:f>
        <x:v>6624</x:v>
      </x:c>
      <x:c r="U13" s="61" t="n">
        <x:f>SUM($B$12:U12)</x:f>
        <x:v>6800</x:v>
      </x:c>
      <x:c r="V13" s="61" t="n">
        <x:f>SUM($B$12:V12)</x:f>
        <x:v>6880</x:v>
      </x:c>
      <x:c r="W13" s="61" t="n">
        <x:f>SUM($B$12:W12)</x:f>
        <x:v>6960</x:v>
      </x:c>
      <x:c r="X13" s="61" t="n">
        <x:f>SUM($B$12:X12)</x:f>
        <x:v>7040</x:v>
      </x:c>
      <x:c r="Y13" s="62" t="n">
        <x:f>SUM($B$12:Y12)</x:f>
        <x:v>7120</x:v>
      </x:c>
    </x:row>
    <x:row r="14" ht="15" hidden="0" customHeight="1">
      <x:c r="A14" s="56" t="str">
        <x:v>Lifetime Analyst Registration Potential</x:v>
      </x:c>
      <x:c r="B14" s="61" t="n">
        <x:f>$Y$10*B11</x:f>
        <x:v>7200</x:v>
      </x:c>
      <x:c r="C14" s="61" t="n">
        <x:f>$Y$10*C11</x:f>
        <x:v>7200</x:v>
      </x:c>
      <x:c r="D14" s="61" t="n">
        <x:f>$Y$10*D11</x:f>
        <x:v>7200</x:v>
      </x:c>
      <x:c r="E14" s="61" t="n">
        <x:f>$Y$10*E11</x:f>
        <x:v>7200</x:v>
      </x:c>
      <x:c r="F14" s="61" t="n">
        <x:f>$Y$10*F11</x:f>
        <x:v>7200</x:v>
      </x:c>
      <x:c r="G14" s="61" t="n">
        <x:f>$Y$10*G11</x:f>
        <x:v>7200</x:v>
      </x:c>
      <x:c r="H14" s="61" t="n">
        <x:f>$Y$10*H11</x:f>
        <x:v>7200</x:v>
      </x:c>
      <x:c r="I14" s="61" t="n">
        <x:f>$Y$10*I11</x:f>
        <x:v>7200</x:v>
      </x:c>
      <x:c r="J14" s="61" t="n">
        <x:f>$Y$10*J11</x:f>
        <x:v>7200</x:v>
      </x:c>
      <x:c r="K14" s="61" t="n">
        <x:f>$Y$10*K11</x:f>
        <x:v>7200</x:v>
      </x:c>
      <x:c r="L14" s="61" t="n">
        <x:f>$Y$10*L11</x:f>
        <x:v>7200</x:v>
      </x:c>
      <x:c r="M14" s="61" t="n">
        <x:f>$Y$10*M11</x:f>
        <x:v>7200</x:v>
      </x:c>
      <x:c r="N14" s="61" t="n">
        <x:f>$Y$10*N11</x:f>
        <x:v>7200</x:v>
      </x:c>
      <x:c r="O14" s="61" t="n">
        <x:f>$Y$10*O11</x:f>
        <x:v>7200</x:v>
      </x:c>
      <x:c r="P14" s="61" t="n">
        <x:f>$Y$10*P11</x:f>
        <x:v>7200</x:v>
      </x:c>
      <x:c r="Q14" s="61" t="n">
        <x:f>$Y$10*Q11</x:f>
        <x:v>7200</x:v>
      </x:c>
      <x:c r="R14" s="61" t="n">
        <x:f>$Y$10*R11</x:f>
        <x:v>7200</x:v>
      </x:c>
      <x:c r="S14" s="61" t="n">
        <x:f>$Y$10*S11</x:f>
        <x:v>7200</x:v>
      </x:c>
      <x:c r="T14" s="61" t="n">
        <x:f>$Y$10*T11</x:f>
        <x:v>7200</x:v>
      </x:c>
      <x:c r="U14" s="61" t="n">
        <x:f>$Y$10*U11</x:f>
        <x:v>7200</x:v>
      </x:c>
      <x:c r="V14" s="61" t="n">
        <x:f>$Y$10*V11</x:f>
        <x:v>7200</x:v>
      </x:c>
      <x:c r="W14" s="61" t="n">
        <x:f>$Y$10*W11</x:f>
        <x:v>7200</x:v>
      </x:c>
      <x:c r="X14" s="61" t="n">
        <x:f>$Y$10*X11</x:f>
        <x:v>7200</x:v>
      </x:c>
      <x:c r="Y14" s="62" t="n">
        <x:f>$Y$10*Y11</x:f>
        <x:v>7200</x:v>
      </x:c>
    </x:row>
    <x:row r="15" ht="15" hidden="0" customHeight="1">
      <x:c r="A15" s="56" t="str">
        <x:v>Analyst Registrations Realised M1-M24</x:v>
      </x:c>
      <x:c r="B15" s="61" t="n">
        <x:f>$Y$13</x:f>
        <x:v>7120</x:v>
      </x:c>
      <x:c r="C15" s="61" t="n">
        <x:f>$Y$13</x:f>
        <x:v>7120</x:v>
      </x:c>
      <x:c r="D15" s="61" t="n">
        <x:f>$Y$13</x:f>
        <x:v>7120</x:v>
      </x:c>
      <x:c r="E15" s="61" t="n">
        <x:f>$Y$13</x:f>
        <x:v>7120</x:v>
      </x:c>
      <x:c r="F15" s="61" t="n">
        <x:f>$Y$13</x:f>
        <x:v>7120</x:v>
      </x:c>
      <x:c r="G15" s="61" t="n">
        <x:f>$Y$13</x:f>
        <x:v>7120</x:v>
      </x:c>
      <x:c r="H15" s="61" t="n">
        <x:f>$Y$13</x:f>
        <x:v>7120</x:v>
      </x:c>
      <x:c r="I15" s="61" t="n">
        <x:f>$Y$13</x:f>
        <x:v>7120</x:v>
      </x:c>
      <x:c r="J15" s="61" t="n">
        <x:f>$Y$13</x:f>
        <x:v>7120</x:v>
      </x:c>
      <x:c r="K15" s="61" t="n">
        <x:f>$Y$13</x:f>
        <x:v>7120</x:v>
      </x:c>
      <x:c r="L15" s="61" t="n">
        <x:f>$Y$13</x:f>
        <x:v>7120</x:v>
      </x:c>
      <x:c r="M15" s="61" t="n">
        <x:f>$Y$13</x:f>
        <x:v>7120</x:v>
      </x:c>
      <x:c r="N15" s="61" t="n">
        <x:f>$Y$13</x:f>
        <x:v>7120</x:v>
      </x:c>
      <x:c r="O15" s="61" t="n">
        <x:f>$Y$13</x:f>
        <x:v>7120</x:v>
      </x:c>
      <x:c r="P15" s="61" t="n">
        <x:f>$Y$13</x:f>
        <x:v>7120</x:v>
      </x:c>
      <x:c r="Q15" s="61" t="n">
        <x:f>$Y$13</x:f>
        <x:v>7120</x:v>
      </x:c>
      <x:c r="R15" s="61" t="n">
        <x:f>$Y$13</x:f>
        <x:v>7120</x:v>
      </x:c>
      <x:c r="S15" s="61" t="n">
        <x:f>$Y$13</x:f>
        <x:v>7120</x:v>
      </x:c>
      <x:c r="T15" s="61" t="n">
        <x:f>$Y$13</x:f>
        <x:v>7120</x:v>
      </x:c>
      <x:c r="U15" s="61" t="n">
        <x:f>$Y$13</x:f>
        <x:v>7120</x:v>
      </x:c>
      <x:c r="V15" s="61" t="n">
        <x:f>$Y$13</x:f>
        <x:v>7120</x:v>
      </x:c>
      <x:c r="W15" s="61" t="n">
        <x:f>$Y$13</x:f>
        <x:v>7120</x:v>
      </x:c>
      <x:c r="X15" s="61" t="n">
        <x:f>$Y$13</x:f>
        <x:v>7120</x:v>
      </x:c>
      <x:c r="Y15" s="62" t="n">
        <x:f>$Y$13</x:f>
        <x:v>7120</x:v>
      </x:c>
    </x:row>
    <x:row r="16" ht="15" hidden="0" customHeight="1">
      <x:c r="A16" s="56" t="str">
        <x:v>Analyst Registration Pipeline after M24</x:v>
      </x:c>
      <x:c r="B16" s="61" t="n">
        <x:f>$Y$14-$Y$15</x:f>
        <x:v>80</x:v>
      </x:c>
      <x:c r="C16" s="61" t="n">
        <x:f>$Y$14-$Y$15</x:f>
        <x:v>80</x:v>
      </x:c>
      <x:c r="D16" s="61" t="n">
        <x:f>$Y$14-$Y$15</x:f>
        <x:v>80</x:v>
      </x:c>
      <x:c r="E16" s="61" t="n">
        <x:f>$Y$14-$Y$15</x:f>
        <x:v>80</x:v>
      </x:c>
      <x:c r="F16" s="61" t="n">
        <x:f>$Y$14-$Y$15</x:f>
        <x:v>80</x:v>
      </x:c>
      <x:c r="G16" s="61" t="n">
        <x:f>$Y$14-$Y$15</x:f>
        <x:v>80</x:v>
      </x:c>
      <x:c r="H16" s="61" t="n">
        <x:f>$Y$14-$Y$15</x:f>
        <x:v>80</x:v>
      </x:c>
      <x:c r="I16" s="61" t="n">
        <x:f>$Y$14-$Y$15</x:f>
        <x:v>80</x:v>
      </x:c>
      <x:c r="J16" s="61" t="n">
        <x:f>$Y$14-$Y$15</x:f>
        <x:v>80</x:v>
      </x:c>
      <x:c r="K16" s="61" t="n">
        <x:f>$Y$14-$Y$15</x:f>
        <x:v>80</x:v>
      </x:c>
      <x:c r="L16" s="61" t="n">
        <x:f>$Y$14-$Y$15</x:f>
        <x:v>80</x:v>
      </x:c>
      <x:c r="M16" s="61" t="n">
        <x:f>$Y$14-$Y$15</x:f>
        <x:v>80</x:v>
      </x:c>
      <x:c r="N16" s="61" t="n">
        <x:f>$Y$14-$Y$15</x:f>
        <x:v>80</x:v>
      </x:c>
      <x:c r="O16" s="61" t="n">
        <x:f>$Y$14-$Y$15</x:f>
        <x:v>80</x:v>
      </x:c>
      <x:c r="P16" s="61" t="n">
        <x:f>$Y$14-$Y$15</x:f>
        <x:v>80</x:v>
      </x:c>
      <x:c r="Q16" s="61" t="n">
        <x:f>$Y$14-$Y$15</x:f>
        <x:v>80</x:v>
      </x:c>
      <x:c r="R16" s="61" t="n">
        <x:f>$Y$14-$Y$15</x:f>
        <x:v>80</x:v>
      </x:c>
      <x:c r="S16" s="61" t="n">
        <x:f>$Y$14-$Y$15</x:f>
        <x:v>80</x:v>
      </x:c>
      <x:c r="T16" s="61" t="n">
        <x:f>$Y$14-$Y$15</x:f>
        <x:v>80</x:v>
      </x:c>
      <x:c r="U16" s="61" t="n">
        <x:f>$Y$14-$Y$15</x:f>
        <x:v>80</x:v>
      </x:c>
      <x:c r="V16" s="61" t="n">
        <x:f>$Y$14-$Y$15</x:f>
        <x:v>80</x:v>
      </x:c>
      <x:c r="W16" s="61" t="n">
        <x:f>$Y$14-$Y$15</x:f>
        <x:v>80</x:v>
      </x:c>
      <x:c r="X16" s="61" t="n">
        <x:f>$Y$14-$Y$15</x:f>
        <x:v>80</x:v>
      </x:c>
      <x:c r="Y16" s="62" t="n">
        <x:f>$Y$14-$Y$15</x:f>
        <x:v>80</x:v>
      </x:c>
    </x:row>
    <x:row r="17" ht="15" hidden="0" customHeight="1">
      <x:c r="A17" s="53" t="str">
        <x:v>Direct &amp; Organic Acquisition</x:v>
      </x:c>
      <x:c r="B17" s="63" t="str">
        <x:v>Direct &amp; Organic Acquisition</x:v>
      </x:c>
      <x:c r="C17" s="63" t="str">
        <x:v>Direct &amp; Organic Acquisition</x:v>
      </x:c>
      <x:c r="D17" s="63" t="str">
        <x:v>Direct &amp; Organic Acquisition</x:v>
      </x:c>
      <x:c r="E17" s="63" t="str">
        <x:v>Direct &amp; Organic Acquisition</x:v>
      </x:c>
      <x:c r="F17" s="63" t="str">
        <x:v>Direct &amp; Organic Acquisition</x:v>
      </x:c>
      <x:c r="G17" s="63" t="str">
        <x:v>Direct &amp; Organic Acquisition</x:v>
      </x:c>
      <x:c r="H17" s="63" t="str">
        <x:v>Direct &amp; Organic Acquisition</x:v>
      </x:c>
      <x:c r="I17" s="63" t="str">
        <x:v>Direct &amp; Organic Acquisition</x:v>
      </x:c>
      <x:c r="J17" s="63" t="str">
        <x:v>Direct &amp; Organic Acquisition</x:v>
      </x:c>
      <x:c r="K17" s="63" t="str">
        <x:v>Direct &amp; Organic Acquisition</x:v>
      </x:c>
      <x:c r="L17" s="63" t="str">
        <x:v>Direct &amp; Organic Acquisition</x:v>
      </x:c>
      <x:c r="M17" s="63" t="str">
        <x:v>Direct &amp; Organic Acquisition</x:v>
      </x:c>
      <x:c r="N17" s="63" t="str">
        <x:v>Direct &amp; Organic Acquisition</x:v>
      </x:c>
      <x:c r="O17" s="63" t="str">
        <x:v>Direct &amp; Organic Acquisition</x:v>
      </x:c>
      <x:c r="P17" s="63" t="str">
        <x:v>Direct &amp; Organic Acquisition</x:v>
      </x:c>
      <x:c r="Q17" s="63" t="str">
        <x:v>Direct &amp; Organic Acquisition</x:v>
      </x:c>
      <x:c r="R17" s="63" t="str">
        <x:v>Direct &amp; Organic Acquisition</x:v>
      </x:c>
      <x:c r="S17" s="63" t="str">
        <x:v>Direct &amp; Organic Acquisition</x:v>
      </x:c>
      <x:c r="T17" s="63" t="str">
        <x:v>Direct &amp; Organic Acquisition</x:v>
      </x:c>
      <x:c r="U17" s="63" t="str">
        <x:v>Direct &amp; Organic Acquisition</x:v>
      </x:c>
      <x:c r="V17" s="63" t="str">
        <x:v>Direct &amp; Organic Acquisition</x:v>
      </x:c>
      <x:c r="W17" s="63" t="str">
        <x:v>Direct &amp; Organic Acquisition</x:v>
      </x:c>
      <x:c r="X17" s="63" t="str">
        <x:v>Direct &amp; Organic Acquisition</x:v>
      </x:c>
      <x:c r="Y17" s="64" t="str">
        <x:v>Direct &amp; Organic Acquisition</x:v>
      </x:c>
    </x:row>
    <x:row r="18" ht="15" hidden="0" customHeight="1">
      <x:c r="A18" s="56" t="str">
        <x:v>Direct Users</x:v>
      </x:c>
      <x:c r="B18" s="61" t="n">
        <x:f>MAX(0,IF(COLUMN()-1&lt;=12,B6-B12,B6*(1-'Assumptions'!$C$22)-B12))</x:f>
        <x:v>178</x:v>
      </x:c>
      <x:c r="C18" s="61" t="n">
        <x:f>MAX(0,IF(COLUMN()-1&lt;=12,C6-C12,C6*(1-'Assumptions'!$C$22)-C12))</x:f>
        <x:v>182</x:v>
      </x:c>
      <x:c r="D18" s="61" t="n">
        <x:f>MAX(0,IF(COLUMN()-1&lt;=12,D6-D12,D6*(1-'Assumptions'!$C$22)-D12))</x:f>
        <x:v>160</x:v>
      </x:c>
      <x:c r="E18" s="61" t="n">
        <x:f>MAX(0,IF(COLUMN()-1&lt;=12,E6-E12,E6*(1-'Assumptions'!$C$22)-E12))</x:f>
        <x:v>62</x:v>
      </x:c>
      <x:c r="F18" s="61" t="n">
        <x:f>MAX(0,IF(COLUMN()-1&lt;=12,F6-F12,F6*(1-'Assumptions'!$C$22)-F12))</x:f>
        <x:v>23</x:v>
      </x:c>
      <x:c r="G18" s="61" t="n">
        <x:f>MAX(0,IF(COLUMN()-1&lt;=12,G6-G12,G6*(1-'Assumptions'!$C$22)-G12))</x:f>
        <x:v>0</x:v>
      </x:c>
      <x:c r="H18" s="61" t="n">
        <x:f>MAX(0,IF(COLUMN()-1&lt;=12,H6-H12,H6*(1-'Assumptions'!$C$22)-H12))</x:f>
        <x:v>25</x:v>
      </x:c>
      <x:c r="I18" s="61" t="n">
        <x:f>MAX(0,IF(COLUMN()-1&lt;=12,I6-I12,I6*(1-'Assumptions'!$C$22)-I12))</x:f>
        <x:v>50</x:v>
      </x:c>
      <x:c r="J18" s="61" t="n">
        <x:f>MAX(0,IF(COLUMN()-1&lt;=12,J6-J12,J6*(1-'Assumptions'!$C$22)-J12))</x:f>
        <x:v>75</x:v>
      </x:c>
      <x:c r="K18" s="61" t="n">
        <x:f>MAX(0,IF(COLUMN()-1&lt;=12,K6-K12,K6*(1-'Assumptions'!$C$22)-K12))</x:f>
        <x:v>100</x:v>
      </x:c>
      <x:c r="L18" s="61" t="n">
        <x:f>MAX(0,IF(COLUMN()-1&lt;=12,L6-L12,L6*(1-'Assumptions'!$C$22)-L12))</x:f>
        <x:v>100</x:v>
      </x:c>
      <x:c r="M18" s="61" t="n">
        <x:f>MAX(0,IF(COLUMN()-1&lt;=12,M6-M12,M6*(1-'Assumptions'!$C$22)-M12))</x:f>
        <x:v>125</x:v>
      </x:c>
      <x:c r="N18" s="61" t="n">
        <x:f>MAX(0,IF(COLUMN()-1&lt;=12,N6-N12,N6*(1-'Assumptions'!$C$22)-N12))</x:f>
        <x:v>185</x:v>
      </x:c>
      <x:c r="O18" s="61" t="n">
        <x:f>MAX(0,IF(COLUMN()-1&lt;=12,O6-O12,O6*(1-'Assumptions'!$C$22)-O12))</x:f>
        <x:v>275</x:v>
      </x:c>
      <x:c r="P18" s="61" t="n">
        <x:f>MAX(0,IF(COLUMN()-1&lt;=12,P6-P12,P6*(1-'Assumptions'!$C$22)-P12))</x:f>
        <x:v>320</x:v>
      </x:c>
      <x:c r="Q18" s="61" t="n">
        <x:f>MAX(0,IF(COLUMN()-1&lt;=12,Q6-Q12,Q6*(1-'Assumptions'!$C$22)-Q12))</x:f>
        <x:v>365</x:v>
      </x:c>
      <x:c r="R18" s="61" t="n">
        <x:f>MAX(0,IF(COLUMN()-1&lt;=12,R6-R12,R6*(1-'Assumptions'!$C$22)-R12))</x:f>
        <x:v>455</x:v>
      </x:c>
      <x:c r="S18" s="61" t="n">
        <x:f>MAX(0,IF(COLUMN()-1&lt;=12,S6-S12,S6*(1-'Assumptions'!$C$22)-S12))</x:f>
        <x:v>500</x:v>
      </x:c>
      <x:c r="T18" s="61" t="n">
        <x:f>MAX(0,IF(COLUMN()-1&lt;=12,T6-T12,T6*(1-'Assumptions'!$C$22)-T12))</x:f>
        <x:v>371</x:v>
      </x:c>
      <x:c r="U18" s="61" t="n">
        <x:f>MAX(0,IF(COLUMN()-1&lt;=12,U6-U12,U6*(1-'Assumptions'!$C$22)-U12))</x:f>
        <x:v>544</x:v>
      </x:c>
      <x:c r="V18" s="61" t="n">
        <x:f>MAX(0,IF(COLUMN()-1&lt;=12,V6-V12,V6*(1-'Assumptions'!$C$22)-V12))</x:f>
        <x:v>685</x:v>
      </x:c>
      <x:c r="W18" s="61" t="n">
        <x:f>MAX(0,IF(COLUMN()-1&lt;=12,W6-W12,W6*(1-'Assumptions'!$C$22)-W12))</x:f>
        <x:v>685</x:v>
      </x:c>
      <x:c r="X18" s="61" t="n">
        <x:f>MAX(0,IF(COLUMN()-1&lt;=12,X6-X12,X6*(1-'Assumptions'!$C$22)-X12))</x:f>
        <x:v>707.5</x:v>
      </x:c>
      <x:c r="Y18" s="62" t="n">
        <x:f>MAX(0,IF(COLUMN()-1&lt;=12,Y6-Y12,Y6*(1-'Assumptions'!$C$22)-Y12))</x:f>
        <x:v>707.5</x:v>
      </x:c>
    </x:row>
    <x:row r="19" ht="15" hidden="0" customHeight="1">
      <x:c r="A19" s="56" t="str">
        <x:v>Organic Users</x:v>
      </x:c>
      <x:c r="B19" s="61" t="n">
        <x:f>IF(COLUMN()-1&lt;=12,0,(B12+B18)*'Assumptions'!$C$22/(1-'Assumptions'!$C$22))</x:f>
        <x:v>0</x:v>
      </x:c>
      <x:c r="C19" s="61" t="n">
        <x:f>IF(COLUMN()-1&lt;=12,0,(C12+C18)*'Assumptions'!$C$22/(1-'Assumptions'!$C$22))</x:f>
        <x:v>0</x:v>
      </x:c>
      <x:c r="D19" s="61" t="n">
        <x:f>IF(COLUMN()-1&lt;=12,0,(D12+D18)*'Assumptions'!$C$22/(1-'Assumptions'!$C$22))</x:f>
        <x:v>0</x:v>
      </x:c>
      <x:c r="E19" s="61" t="n">
        <x:f>IF(COLUMN()-1&lt;=12,0,(E12+E18)*'Assumptions'!$C$22/(1-'Assumptions'!$C$22))</x:f>
        <x:v>0</x:v>
      </x:c>
      <x:c r="F19" s="61" t="n">
        <x:f>IF(COLUMN()-1&lt;=12,0,(F12+F18)*'Assumptions'!$C$22/(1-'Assumptions'!$C$22))</x:f>
        <x:v>0</x:v>
      </x:c>
      <x:c r="G19" s="61" t="n">
        <x:f>IF(COLUMN()-1&lt;=12,0,(G12+G18)*'Assumptions'!$C$22/(1-'Assumptions'!$C$22))</x:f>
        <x:v>0</x:v>
      </x:c>
      <x:c r="H19" s="61" t="n">
        <x:f>IF(COLUMN()-1&lt;=12,0,(H12+H18)*'Assumptions'!$C$22/(1-'Assumptions'!$C$22))</x:f>
        <x:v>0</x:v>
      </x:c>
      <x:c r="I19" s="61" t="n">
        <x:f>IF(COLUMN()-1&lt;=12,0,(I12+I18)*'Assumptions'!$C$22/(1-'Assumptions'!$C$22))</x:f>
        <x:v>0</x:v>
      </x:c>
      <x:c r="J19" s="61" t="n">
        <x:f>IF(COLUMN()-1&lt;=12,0,(J12+J18)*'Assumptions'!$C$22/(1-'Assumptions'!$C$22))</x:f>
        <x:v>0</x:v>
      </x:c>
      <x:c r="K19" s="61" t="n">
        <x:f>IF(COLUMN()-1&lt;=12,0,(K12+K18)*'Assumptions'!$C$22/(1-'Assumptions'!$C$22))</x:f>
        <x:v>0</x:v>
      </x:c>
      <x:c r="L19" s="61" t="n">
        <x:f>IF(COLUMN()-1&lt;=12,0,(L12+L18)*'Assumptions'!$C$22/(1-'Assumptions'!$C$22))</x:f>
        <x:v>0</x:v>
      </x:c>
      <x:c r="M19" s="61" t="n">
        <x:f>IF(COLUMN()-1&lt;=12,0,(M12+M18)*'Assumptions'!$C$22/(1-'Assumptions'!$C$22))</x:f>
        <x:v>0</x:v>
      </x:c>
      <x:c r="N19" s="61" t="n">
        <x:f>IF(COLUMN()-1&lt;=12,0,(N12+N18)*'Assumptions'!$C$22/(1-'Assumptions'!$C$22))</x:f>
        <x:v>65</x:v>
      </x:c>
      <x:c r="O19" s="61" t="n">
        <x:f>IF(COLUMN()-1&lt;=12,0,(O12+O18)*'Assumptions'!$C$22/(1-'Assumptions'!$C$22))</x:f>
        <x:v>75</x:v>
      </x:c>
      <x:c r="P19" s="61" t="n">
        <x:f>IF(COLUMN()-1&lt;=12,0,(P12+P18)*'Assumptions'!$C$22/(1-'Assumptions'!$C$22))</x:f>
        <x:v>80</x:v>
      </x:c>
      <x:c r="Q19" s="61" t="n">
        <x:f>IF(COLUMN()-1&lt;=12,0,(Q12+Q18)*'Assumptions'!$C$22/(1-'Assumptions'!$C$22))</x:f>
        <x:v>85</x:v>
      </x:c>
      <x:c r="R19" s="61" t="n">
        <x:f>IF(COLUMN()-1&lt;=12,0,(R12+R18)*'Assumptions'!$C$22/(1-'Assumptions'!$C$22))</x:f>
        <x:v>95</x:v>
      </x:c>
      <x:c r="S19" s="61" t="n">
        <x:f>IF(COLUMN()-1&lt;=12,0,(S12+S18)*'Assumptions'!$C$22/(1-'Assumptions'!$C$22))</x:f>
        <x:v>100</x:v>
      </x:c>
      <x:c r="T19" s="61" t="n">
        <x:f>IF(COLUMN()-1&lt;=12,0,(T12+T18)*'Assumptions'!$C$22/(1-'Assumptions'!$C$22))</x:f>
        <x:v>75</x:v>
      </x:c>
      <x:c r="U19" s="61" t="n">
        <x:f>IF(COLUMN()-1&lt;=12,0,(U12+U18)*'Assumptions'!$C$22/(1-'Assumptions'!$C$22))</x:f>
        <x:v>80</x:v>
      </x:c>
      <x:c r="V19" s="61" t="n">
        <x:f>IF(COLUMN()-1&lt;=12,0,(V12+V18)*'Assumptions'!$C$22/(1-'Assumptions'!$C$22))</x:f>
        <x:v>85</x:v>
      </x:c>
      <x:c r="W19" s="61" t="n">
        <x:f>IF(COLUMN()-1&lt;=12,0,(W12+W18)*'Assumptions'!$C$22/(1-'Assumptions'!$C$22))</x:f>
        <x:v>85</x:v>
      </x:c>
      <x:c r="X19" s="61" t="n">
        <x:f>IF(COLUMN()-1&lt;=12,0,(X12+X18)*'Assumptions'!$C$22/(1-'Assumptions'!$C$22))</x:f>
        <x:v>87.5</x:v>
      </x:c>
      <x:c r="Y19" s="62" t="n">
        <x:f>IF(COLUMN()-1&lt;=12,0,(Y12+Y18)*'Assumptions'!$C$22/(1-'Assumptions'!$C$22))</x:f>
        <x:v>87.5</x:v>
      </x:c>
    </x:row>
    <x:row r="20" ht="15" hidden="0" customHeight="1">
      <x:c r="A20" s="56" t="str">
        <x:v>Total New Registered Users</x:v>
      </x:c>
      <x:c r="B20" s="61" t="n">
        <x:f>B12+B18+B19</x:f>
        <x:v>250</x:v>
      </x:c>
      <x:c r="C20" s="61" t="n">
        <x:f>C12+C18+C19</x:f>
        <x:v>350</x:v>
      </x:c>
      <x:c r="D20" s="61" t="n">
        <x:f>D12+D18+D19</x:f>
        <x:v>400</x:v>
      </x:c>
      <x:c r="E20" s="61" t="n">
        <x:f>E12+E18+E19</x:f>
        <x:v>350</x:v>
      </x:c>
      <x:c r="F20" s="61" t="n">
        <x:f>F12+F18+F19</x:f>
        <x:v>375</x:v>
      </x:c>
      <x:c r="G20" s="61" t="n">
        <x:f>G12+G18+G19</x:f>
        <x:v>400</x:v>
      </x:c>
      <x:c r="H20" s="61" t="n">
        <x:f>H12+H18+H19</x:f>
        <x:v>425</x:v>
      </x:c>
      <x:c r="I20" s="61" t="n">
        <x:f>I12+I18+I19</x:f>
        <x:v>450</x:v>
      </x:c>
      <x:c r="J20" s="61" t="n">
        <x:f>J12+J18+J19</x:f>
        <x:v>475</x:v>
      </x:c>
      <x:c r="K20" s="61" t="n">
        <x:f>K12+K18+K19</x:f>
        <x:v>500</x:v>
      </x:c>
      <x:c r="L20" s="61" t="n">
        <x:f>L12+L18+L19</x:f>
        <x:v>500</x:v>
      </x:c>
      <x:c r="M20" s="61" t="n">
        <x:f>M12+M18+M19</x:f>
        <x:v>525</x:v>
      </x:c>
      <x:c r="N20" s="61" t="n">
        <x:f>N12+N18+N19</x:f>
        <x:v>650</x:v>
      </x:c>
      <x:c r="O20" s="61" t="n">
        <x:f>O12+O18+O19</x:f>
        <x:v>750</x:v>
      </x:c>
      <x:c r="P20" s="61" t="n">
        <x:f>P12+P18+P19</x:f>
        <x:v>800</x:v>
      </x:c>
      <x:c r="Q20" s="61" t="n">
        <x:f>Q12+Q18+Q19</x:f>
        <x:v>850</x:v>
      </x:c>
      <x:c r="R20" s="61" t="n">
        <x:f>R12+R18+R19</x:f>
        <x:v>950</x:v>
      </x:c>
      <x:c r="S20" s="61" t="n">
        <x:f>S12+S18+S19</x:f>
        <x:v>1000</x:v>
      </x:c>
      <x:c r="T20" s="61" t="n">
        <x:f>T12+T18+T19</x:f>
        <x:v>750</x:v>
      </x:c>
      <x:c r="U20" s="61" t="n">
        <x:f>U12+U18+U19</x:f>
        <x:v>800</x:v>
      </x:c>
      <x:c r="V20" s="61" t="n">
        <x:f>V12+V18+V19</x:f>
        <x:v>850</x:v>
      </x:c>
      <x:c r="W20" s="61" t="n">
        <x:f>W12+W18+W19</x:f>
        <x:v>850</x:v>
      </x:c>
      <x:c r="X20" s="61" t="n">
        <x:f>X12+X18+X19</x:f>
        <x:v>875</x:v>
      </x:c>
      <x:c r="Y20" s="62" t="n">
        <x:f>Y12+Y18+Y19</x:f>
        <x:v>875</x:v>
      </x:c>
    </x:row>
    <x:row r="21" ht="15" hidden="0" customHeight="1">
      <x:c r="A21" s="56" t="str">
        <x:v>Cumulative Registered Users</x:v>
      </x:c>
      <x:c r="B21" s="61" t="n">
        <x:f>SUM($B$20:B20)</x:f>
        <x:v>250</x:v>
      </x:c>
      <x:c r="C21" s="61" t="n">
        <x:f>SUM($B$20:C20)</x:f>
        <x:v>600</x:v>
      </x:c>
      <x:c r="D21" s="61" t="n">
        <x:f>SUM($B$20:D20)</x:f>
        <x:v>1000</x:v>
      </x:c>
      <x:c r="E21" s="61" t="n">
        <x:f>SUM($B$20:E20)</x:f>
        <x:v>1350</x:v>
      </x:c>
      <x:c r="F21" s="61" t="n">
        <x:f>SUM($B$20:F20)</x:f>
        <x:v>1725</x:v>
      </x:c>
      <x:c r="G21" s="61" t="n">
        <x:f>SUM($B$20:G20)</x:f>
        <x:v>2125</x:v>
      </x:c>
      <x:c r="H21" s="61" t="n">
        <x:f>SUM($B$20:H20)</x:f>
        <x:v>2550</x:v>
      </x:c>
      <x:c r="I21" s="61" t="n">
        <x:f>SUM($B$20:I20)</x:f>
        <x:v>3000</x:v>
      </x:c>
      <x:c r="J21" s="61" t="n">
        <x:f>SUM($B$20:J20)</x:f>
        <x:v>3475</x:v>
      </x:c>
      <x:c r="K21" s="61" t="n">
        <x:f>SUM($B$20:K20)</x:f>
        <x:v>3975</x:v>
      </x:c>
      <x:c r="L21" s="61" t="n">
        <x:f>SUM($B$20:L20)</x:f>
        <x:v>4475</x:v>
      </x:c>
      <x:c r="M21" s="61" t="n">
        <x:f>SUM($B$20:M20)</x:f>
        <x:v>5000</x:v>
      </x:c>
      <x:c r="N21" s="61" t="n">
        <x:f>SUM($B$20:N20)</x:f>
        <x:v>5650</x:v>
      </x:c>
      <x:c r="O21" s="61" t="n">
        <x:f>SUM($B$20:O20)</x:f>
        <x:v>6400</x:v>
      </x:c>
      <x:c r="P21" s="61" t="n">
        <x:f>SUM($B$20:P20)</x:f>
        <x:v>7200</x:v>
      </x:c>
      <x:c r="Q21" s="61" t="n">
        <x:f>SUM($B$20:Q20)</x:f>
        <x:v>8050</x:v>
      </x:c>
      <x:c r="R21" s="61" t="n">
        <x:f>SUM($B$20:R20)</x:f>
        <x:v>9000</x:v>
      </x:c>
      <x:c r="S21" s="61" t="n">
        <x:f>SUM($B$20:S20)</x:f>
        <x:v>10000</x:v>
      </x:c>
      <x:c r="T21" s="61" t="n">
        <x:f>SUM($B$20:T20)</x:f>
        <x:v>10750</x:v>
      </x:c>
      <x:c r="U21" s="61" t="n">
        <x:f>SUM($B$20:U20)</x:f>
        <x:v>11550</x:v>
      </x:c>
      <x:c r="V21" s="61" t="n">
        <x:f>SUM($B$20:V20)</x:f>
        <x:v>12400</x:v>
      </x:c>
      <x:c r="W21" s="61" t="n">
        <x:f>SUM($B$20:W20)</x:f>
        <x:v>13250</x:v>
      </x:c>
      <x:c r="X21" s="61" t="n">
        <x:f>SUM($B$20:X20)</x:f>
        <x:v>14125</x:v>
      </x:c>
      <x:c r="Y21" s="62" t="n">
        <x:f>SUM($B$20:Y20)</x:f>
        <x:v>15000</x:v>
      </x:c>
    </x:row>
    <x:row r="22" ht="15" hidden="0" customHeight="1">
      <x:c r="A22" s="56" t="str">
        <x:v>Variance vs Target Cumulative</x:v>
      </x:c>
      <x:c r="B22" s="61" t="n">
        <x:f>B21-B7</x:f>
        <x:v>0</x:v>
      </x:c>
      <x:c r="C22" s="61" t="n">
        <x:f>C21-C7</x:f>
        <x:v>0</x:v>
      </x:c>
      <x:c r="D22" s="61" t="n">
        <x:f>D21-D7</x:f>
        <x:v>0</x:v>
      </x:c>
      <x:c r="E22" s="61" t="n">
        <x:f>E21-E7</x:f>
        <x:v>0</x:v>
      </x:c>
      <x:c r="F22" s="61" t="n">
        <x:f>F21-F7</x:f>
        <x:v>0</x:v>
      </x:c>
      <x:c r="G22" s="61" t="n">
        <x:f>G21-G7</x:f>
        <x:v>0</x:v>
      </x:c>
      <x:c r="H22" s="61" t="n">
        <x:f>H21-H7</x:f>
        <x:v>0</x:v>
      </x:c>
      <x:c r="I22" s="61" t="n">
        <x:f>I21-I7</x:f>
        <x:v>0</x:v>
      </x:c>
      <x:c r="J22" s="61" t="n">
        <x:f>J21-J7</x:f>
        <x:v>0</x:v>
      </x:c>
      <x:c r="K22" s="61" t="n">
        <x:f>K21-K7</x:f>
        <x:v>0</x:v>
      </x:c>
      <x:c r="L22" s="61" t="n">
        <x:f>L21-L7</x:f>
        <x:v>0</x:v>
      </x:c>
      <x:c r="M22" s="61" t="n">
        <x:f>M21-M7</x:f>
        <x:v>0</x:v>
      </x:c>
      <x:c r="N22" s="61" t="n">
        <x:f>N21-N7</x:f>
        <x:v>0</x:v>
      </x:c>
      <x:c r="O22" s="61" t="n">
        <x:f>O21-O7</x:f>
        <x:v>0</x:v>
      </x:c>
      <x:c r="P22" s="61" t="n">
        <x:f>P21-P7</x:f>
        <x:v>0</x:v>
      </x:c>
      <x:c r="Q22" s="61" t="n">
        <x:f>Q21-Q7</x:f>
        <x:v>0</x:v>
      </x:c>
      <x:c r="R22" s="61" t="n">
        <x:f>R21-R7</x:f>
        <x:v>0</x:v>
      </x:c>
      <x:c r="S22" s="61" t="n">
        <x:f>S21-S7</x:f>
        <x:v>0</x:v>
      </x:c>
      <x:c r="T22" s="61" t="n">
        <x:f>T21-T7</x:f>
        <x:v>0</x:v>
      </x:c>
      <x:c r="U22" s="61" t="n">
        <x:f>U21-U7</x:f>
        <x:v>0</x:v>
      </x:c>
      <x:c r="V22" s="61" t="n">
        <x:f>V21-V7</x:f>
        <x:v>0</x:v>
      </x:c>
      <x:c r="W22" s="61" t="n">
        <x:f>W21-W7</x:f>
        <x:v>0</x:v>
      </x:c>
      <x:c r="X22" s="61" t="n">
        <x:f>X21-X7</x:f>
        <x:v>0</x:v>
      </x:c>
      <x:c r="Y22" s="62" t="n">
        <x:f>Y21-Y7</x:f>
        <x:v>0</x:v>
      </x:c>
    </x:row>
    <x:row r="23" ht="15" hidden="0" customHeight="1">
      <x:c r="A23" s="56" t="str">
        <x:v>Direct CAC (INR/user)</x:v>
      </x:c>
      <x:c r="B23" s="61" t="n">
        <x:f>IF(COLUMN()-1&lt;=6,'Assumptions'!$C$18,IF(COLUMN()-1&lt;=12,'Assumptions'!$C$19,IF(COLUMN()-1&lt;=18,'Assumptions'!$C$20,'Assumptions'!$C$21)))</x:f>
        <x:v>1500</x:v>
      </x:c>
      <x:c r="C23" s="61" t="n">
        <x:f>IF(COLUMN()-1&lt;=6,'Assumptions'!$C$18,IF(COLUMN()-1&lt;=12,'Assumptions'!$C$19,IF(COLUMN()-1&lt;=18,'Assumptions'!$C$20,'Assumptions'!$C$21)))</x:f>
        <x:v>1500</x:v>
      </x:c>
      <x:c r="D23" s="61" t="n">
        <x:f>IF(COLUMN()-1&lt;=6,'Assumptions'!$C$18,IF(COLUMN()-1&lt;=12,'Assumptions'!$C$19,IF(COLUMN()-1&lt;=18,'Assumptions'!$C$20,'Assumptions'!$C$21)))</x:f>
        <x:v>1500</x:v>
      </x:c>
      <x:c r="E23" s="61" t="n">
        <x:f>IF(COLUMN()-1&lt;=6,'Assumptions'!$C$18,IF(COLUMN()-1&lt;=12,'Assumptions'!$C$19,IF(COLUMN()-1&lt;=18,'Assumptions'!$C$20,'Assumptions'!$C$21)))</x:f>
        <x:v>1500</x:v>
      </x:c>
      <x:c r="F23" s="61" t="n">
        <x:f>IF(COLUMN()-1&lt;=6,'Assumptions'!$C$18,IF(COLUMN()-1&lt;=12,'Assumptions'!$C$19,IF(COLUMN()-1&lt;=18,'Assumptions'!$C$20,'Assumptions'!$C$21)))</x:f>
        <x:v>1500</x:v>
      </x:c>
      <x:c r="G23" s="61" t="n">
        <x:f>IF(COLUMN()-1&lt;=6,'Assumptions'!$C$18,IF(COLUMN()-1&lt;=12,'Assumptions'!$C$19,IF(COLUMN()-1&lt;=18,'Assumptions'!$C$20,'Assumptions'!$C$21)))</x:f>
        <x:v>1500</x:v>
      </x:c>
      <x:c r="H23" s="61" t="n">
        <x:f>IF(COLUMN()-1&lt;=6,'Assumptions'!$C$18,IF(COLUMN()-1&lt;=12,'Assumptions'!$C$19,IF(COLUMN()-1&lt;=18,'Assumptions'!$C$20,'Assumptions'!$C$21)))</x:f>
        <x:v>1250</x:v>
      </x:c>
      <x:c r="I23" s="61" t="n">
        <x:f>IF(COLUMN()-1&lt;=6,'Assumptions'!$C$18,IF(COLUMN()-1&lt;=12,'Assumptions'!$C$19,IF(COLUMN()-1&lt;=18,'Assumptions'!$C$20,'Assumptions'!$C$21)))</x:f>
        <x:v>1250</x:v>
      </x:c>
      <x:c r="J23" s="61" t="n">
        <x:f>IF(COLUMN()-1&lt;=6,'Assumptions'!$C$18,IF(COLUMN()-1&lt;=12,'Assumptions'!$C$19,IF(COLUMN()-1&lt;=18,'Assumptions'!$C$20,'Assumptions'!$C$21)))</x:f>
        <x:v>1250</x:v>
      </x:c>
      <x:c r="K23" s="61" t="n">
        <x:f>IF(COLUMN()-1&lt;=6,'Assumptions'!$C$18,IF(COLUMN()-1&lt;=12,'Assumptions'!$C$19,IF(COLUMN()-1&lt;=18,'Assumptions'!$C$20,'Assumptions'!$C$21)))</x:f>
        <x:v>1250</x:v>
      </x:c>
      <x:c r="L23" s="61" t="n">
        <x:f>IF(COLUMN()-1&lt;=6,'Assumptions'!$C$18,IF(COLUMN()-1&lt;=12,'Assumptions'!$C$19,IF(COLUMN()-1&lt;=18,'Assumptions'!$C$20,'Assumptions'!$C$21)))</x:f>
        <x:v>1250</x:v>
      </x:c>
      <x:c r="M23" s="61" t="n">
        <x:f>IF(COLUMN()-1&lt;=6,'Assumptions'!$C$18,IF(COLUMN()-1&lt;=12,'Assumptions'!$C$19,IF(COLUMN()-1&lt;=18,'Assumptions'!$C$20,'Assumptions'!$C$21)))</x:f>
        <x:v>1250</x:v>
      </x:c>
      <x:c r="N23" s="61" t="n">
        <x:f>IF(COLUMN()-1&lt;=6,'Assumptions'!$C$18,IF(COLUMN()-1&lt;=12,'Assumptions'!$C$19,IF(COLUMN()-1&lt;=18,'Assumptions'!$C$20,'Assumptions'!$C$21)))</x:f>
        <x:v>1000</x:v>
      </x:c>
      <x:c r="O23" s="61" t="n">
        <x:f>IF(COLUMN()-1&lt;=6,'Assumptions'!$C$18,IF(COLUMN()-1&lt;=12,'Assumptions'!$C$19,IF(COLUMN()-1&lt;=18,'Assumptions'!$C$20,'Assumptions'!$C$21)))</x:f>
        <x:v>1000</x:v>
      </x:c>
      <x:c r="P23" s="61" t="n">
        <x:f>IF(COLUMN()-1&lt;=6,'Assumptions'!$C$18,IF(COLUMN()-1&lt;=12,'Assumptions'!$C$19,IF(COLUMN()-1&lt;=18,'Assumptions'!$C$20,'Assumptions'!$C$21)))</x:f>
        <x:v>1000</x:v>
      </x:c>
      <x:c r="Q23" s="61" t="n">
        <x:f>IF(COLUMN()-1&lt;=6,'Assumptions'!$C$18,IF(COLUMN()-1&lt;=12,'Assumptions'!$C$19,IF(COLUMN()-1&lt;=18,'Assumptions'!$C$20,'Assumptions'!$C$21)))</x:f>
        <x:v>1000</x:v>
      </x:c>
      <x:c r="R23" s="61" t="n">
        <x:f>IF(COLUMN()-1&lt;=6,'Assumptions'!$C$18,IF(COLUMN()-1&lt;=12,'Assumptions'!$C$19,IF(COLUMN()-1&lt;=18,'Assumptions'!$C$20,'Assumptions'!$C$21)))</x:f>
        <x:v>1000</x:v>
      </x:c>
      <x:c r="S23" s="61" t="n">
        <x:f>IF(COLUMN()-1&lt;=6,'Assumptions'!$C$18,IF(COLUMN()-1&lt;=12,'Assumptions'!$C$19,IF(COLUMN()-1&lt;=18,'Assumptions'!$C$20,'Assumptions'!$C$21)))</x:f>
        <x:v>1000</x:v>
      </x:c>
      <x:c r="T23" s="61" t="n">
        <x:f>IF(COLUMN()-1&lt;=6,'Assumptions'!$C$18,IF(COLUMN()-1&lt;=12,'Assumptions'!$C$19,IF(COLUMN()-1&lt;=18,'Assumptions'!$C$20,'Assumptions'!$C$21)))</x:f>
        <x:v>900</x:v>
      </x:c>
      <x:c r="U23" s="61" t="n">
        <x:f>IF(COLUMN()-1&lt;=6,'Assumptions'!$C$18,IF(COLUMN()-1&lt;=12,'Assumptions'!$C$19,IF(COLUMN()-1&lt;=18,'Assumptions'!$C$20,'Assumptions'!$C$21)))</x:f>
        <x:v>900</x:v>
      </x:c>
      <x:c r="V23" s="61" t="n">
        <x:f>IF(COLUMN()-1&lt;=6,'Assumptions'!$C$18,IF(COLUMN()-1&lt;=12,'Assumptions'!$C$19,IF(COLUMN()-1&lt;=18,'Assumptions'!$C$20,'Assumptions'!$C$21)))</x:f>
        <x:v>900</x:v>
      </x:c>
      <x:c r="W23" s="61" t="n">
        <x:f>IF(COLUMN()-1&lt;=6,'Assumptions'!$C$18,IF(COLUMN()-1&lt;=12,'Assumptions'!$C$19,IF(COLUMN()-1&lt;=18,'Assumptions'!$C$20,'Assumptions'!$C$21)))</x:f>
        <x:v>900</x:v>
      </x:c>
      <x:c r="X23" s="61" t="n">
        <x:f>IF(COLUMN()-1&lt;=6,'Assumptions'!$C$18,IF(COLUMN()-1&lt;=12,'Assumptions'!$C$19,IF(COLUMN()-1&lt;=18,'Assumptions'!$C$20,'Assumptions'!$C$21)))</x:f>
        <x:v>900</x:v>
      </x:c>
      <x:c r="Y23" s="62" t="n">
        <x:f>IF(COLUMN()-1&lt;=6,'Assumptions'!$C$18,IF(COLUMN()-1&lt;=12,'Assumptions'!$C$19,IF(COLUMN()-1&lt;=18,'Assumptions'!$C$20,'Assumptions'!$C$21)))</x:f>
        <x:v>900</x:v>
      </x:c>
    </x:row>
    <x:row r="24" ht="15" hidden="0" customHeight="1">
      <x:c r="A24" s="56" t="str">
        <x:v>Direct Performance Marketing Spend</x:v>
      </x:c>
      <x:c r="B24" s="65" t="n">
        <x:f>B18*B23/100000</x:f>
        <x:v>2.67</x:v>
      </x:c>
      <x:c r="C24" s="65" t="n">
        <x:f>C18*C23/100000</x:f>
        <x:v>2.73</x:v>
      </x:c>
      <x:c r="D24" s="65" t="n">
        <x:f>D18*D23/100000</x:f>
        <x:v>2.4</x:v>
      </x:c>
      <x:c r="E24" s="65" t="n">
        <x:f>E18*E23/100000</x:f>
        <x:v>0.93</x:v>
      </x:c>
      <x:c r="F24" s="65" t="n">
        <x:f>F18*F23/100000</x:f>
        <x:v>0.345</x:v>
      </x:c>
      <x:c r="G24" s="65" t="n">
        <x:f>G18*G23/100000</x:f>
        <x:v>0</x:v>
      </x:c>
      <x:c r="H24" s="65" t="n">
        <x:f>H18*H23/100000</x:f>
        <x:v>0.3125</x:v>
      </x:c>
      <x:c r="I24" s="65" t="n">
        <x:f>I18*I23/100000</x:f>
        <x:v>0.625</x:v>
      </x:c>
      <x:c r="J24" s="65" t="n">
        <x:f>J18*J23/100000</x:f>
        <x:v>0.9375</x:v>
      </x:c>
      <x:c r="K24" s="65" t="n">
        <x:f>K18*K23/100000</x:f>
        <x:v>1.25</x:v>
      </x:c>
      <x:c r="L24" s="65" t="n">
        <x:f>L18*L23/100000</x:f>
        <x:v>1.25</x:v>
      </x:c>
      <x:c r="M24" s="65" t="n">
        <x:f>M18*M23/100000</x:f>
        <x:v>1.5625</x:v>
      </x:c>
      <x:c r="N24" s="65" t="n">
        <x:f>N18*N23/100000</x:f>
        <x:v>1.85</x:v>
      </x:c>
      <x:c r="O24" s="65" t="n">
        <x:f>O18*O23/100000</x:f>
        <x:v>2.75</x:v>
      </x:c>
      <x:c r="P24" s="65" t="n">
        <x:f>P18*P23/100000</x:f>
        <x:v>3.2</x:v>
      </x:c>
      <x:c r="Q24" s="65" t="n">
        <x:f>Q18*Q23/100000</x:f>
        <x:v>3.65</x:v>
      </x:c>
      <x:c r="R24" s="65" t="n">
        <x:f>R18*R23/100000</x:f>
        <x:v>4.55</x:v>
      </x:c>
      <x:c r="S24" s="65" t="n">
        <x:f>S18*S23/100000</x:f>
        <x:v>5</x:v>
      </x:c>
      <x:c r="T24" s="65" t="n">
        <x:f>T18*T23/100000</x:f>
        <x:v>3.339</x:v>
      </x:c>
      <x:c r="U24" s="65" t="n">
        <x:f>U18*U23/100000</x:f>
        <x:v>4.896</x:v>
      </x:c>
      <x:c r="V24" s="65" t="n">
        <x:f>V18*V23/100000</x:f>
        <x:v>6.165</x:v>
      </x:c>
      <x:c r="W24" s="65" t="n">
        <x:f>W18*W23/100000</x:f>
        <x:v>6.165</x:v>
      </x:c>
      <x:c r="X24" s="65" t="n">
        <x:f>X18*X23/100000</x:f>
        <x:v>6.3675</x:v>
      </x:c>
      <x:c r="Y24" s="66" t="n">
        <x:f>Y18*Y23/100000</x:f>
        <x:v>6.3675</x:v>
      </x:c>
    </x:row>
    <x:row r="25" ht="15" hidden="0" customHeight="1">
      <x:c r="A25" s="56" t="str">
        <x:v>Organic / Content Spend</x:v>
      </x:c>
      <x:c r="B25" s="65" t="n">
        <x:f>B19*'Assumptions'!$C$23/100000</x:f>
        <x:v>0</x:v>
      </x:c>
      <x:c r="C25" s="65" t="n">
        <x:f>C19*'Assumptions'!$C$23/100000</x:f>
        <x:v>0</x:v>
      </x:c>
      <x:c r="D25" s="65" t="n">
        <x:f>D19*'Assumptions'!$C$23/100000</x:f>
        <x:v>0</x:v>
      </x:c>
      <x:c r="E25" s="65" t="n">
        <x:f>E19*'Assumptions'!$C$23/100000</x:f>
        <x:v>0</x:v>
      </x:c>
      <x:c r="F25" s="65" t="n">
        <x:f>F19*'Assumptions'!$C$23/100000</x:f>
        <x:v>0</x:v>
      </x:c>
      <x:c r="G25" s="65" t="n">
        <x:f>G19*'Assumptions'!$C$23/100000</x:f>
        <x:v>0</x:v>
      </x:c>
      <x:c r="H25" s="65" t="n">
        <x:f>H19*'Assumptions'!$C$23/100000</x:f>
        <x:v>0</x:v>
      </x:c>
      <x:c r="I25" s="65" t="n">
        <x:f>I19*'Assumptions'!$C$23/100000</x:f>
        <x:v>0</x:v>
      </x:c>
      <x:c r="J25" s="65" t="n">
        <x:f>J19*'Assumptions'!$C$23/100000</x:f>
        <x:v>0</x:v>
      </x:c>
      <x:c r="K25" s="65" t="n">
        <x:f>K19*'Assumptions'!$C$23/100000</x:f>
        <x:v>0</x:v>
      </x:c>
      <x:c r="L25" s="65" t="n">
        <x:f>L19*'Assumptions'!$C$23/100000</x:f>
        <x:v>0</x:v>
      </x:c>
      <x:c r="M25" s="65" t="n">
        <x:f>M19*'Assumptions'!$C$23/100000</x:f>
        <x:v>0</x:v>
      </x:c>
      <x:c r="N25" s="65" t="n">
        <x:f>N19*'Assumptions'!$C$23/100000</x:f>
        <x:v>0.1625</x:v>
      </x:c>
      <x:c r="O25" s="65" t="n">
        <x:f>O19*'Assumptions'!$C$23/100000</x:f>
        <x:v>0.1875</x:v>
      </x:c>
      <x:c r="P25" s="65" t="n">
        <x:f>P19*'Assumptions'!$C$23/100000</x:f>
        <x:v>0.2</x:v>
      </x:c>
      <x:c r="Q25" s="65" t="n">
        <x:f>Q19*'Assumptions'!$C$23/100000</x:f>
        <x:v>0.2125</x:v>
      </x:c>
      <x:c r="R25" s="65" t="n">
        <x:f>R19*'Assumptions'!$C$23/100000</x:f>
        <x:v>0.2375</x:v>
      </x:c>
      <x:c r="S25" s="65" t="n">
        <x:f>S19*'Assumptions'!$C$23/100000</x:f>
        <x:v>0.25</x:v>
      </x:c>
      <x:c r="T25" s="65" t="n">
        <x:f>T19*'Assumptions'!$C$23/100000</x:f>
        <x:v>0.1875</x:v>
      </x:c>
      <x:c r="U25" s="65" t="n">
        <x:f>U19*'Assumptions'!$C$23/100000</x:f>
        <x:v>0.2</x:v>
      </x:c>
      <x:c r="V25" s="65" t="n">
        <x:f>V19*'Assumptions'!$C$23/100000</x:f>
        <x:v>0.2125</x:v>
      </x:c>
      <x:c r="W25" s="65" t="n">
        <x:f>W19*'Assumptions'!$C$23/100000</x:f>
        <x:v>0.2125</x:v>
      </x:c>
      <x:c r="X25" s="65" t="n">
        <x:f>X19*'Assumptions'!$C$23/100000</x:f>
        <x:v>0.21875</x:v>
      </x:c>
      <x:c r="Y25" s="66" t="n">
        <x:f>Y19*'Assumptions'!$C$23/100000</x:f>
        <x:v>0.21875</x:v>
      </x:c>
    </x:row>
    <x:row r="26" ht="15" hidden="0" customHeight="1">
      <x:c r="A26" s="56" t="str">
        <x:v>Organic CAC (INR/user)</x:v>
      </x:c>
      <x:c r="B26" s="65" t="n">
        <x:f>'Assumptions'!$C$23</x:f>
        <x:v>250</x:v>
      </x:c>
      <x:c r="C26" s="65" t="n">
        <x:f>'Assumptions'!$C$23</x:f>
        <x:v>250</x:v>
      </x:c>
      <x:c r="D26" s="65" t="n">
        <x:f>'Assumptions'!$C$23</x:f>
        <x:v>250</x:v>
      </x:c>
      <x:c r="E26" s="65" t="n">
        <x:f>'Assumptions'!$C$23</x:f>
        <x:v>250</x:v>
      </x:c>
      <x:c r="F26" s="65" t="n">
        <x:f>'Assumptions'!$C$23</x:f>
        <x:v>250</x:v>
      </x:c>
      <x:c r="G26" s="65" t="n">
        <x:f>'Assumptions'!$C$23</x:f>
        <x:v>250</x:v>
      </x:c>
      <x:c r="H26" s="65" t="n">
        <x:f>'Assumptions'!$C$23</x:f>
        <x:v>250</x:v>
      </x:c>
      <x:c r="I26" s="65" t="n">
        <x:f>'Assumptions'!$C$23</x:f>
        <x:v>250</x:v>
      </x:c>
      <x:c r="J26" s="65" t="n">
        <x:f>'Assumptions'!$C$23</x:f>
        <x:v>250</x:v>
      </x:c>
      <x:c r="K26" s="65" t="n">
        <x:f>'Assumptions'!$C$23</x:f>
        <x:v>250</x:v>
      </x:c>
      <x:c r="L26" s="65" t="n">
        <x:f>'Assumptions'!$C$23</x:f>
        <x:v>250</x:v>
      </x:c>
      <x:c r="M26" s="65" t="n">
        <x:f>'Assumptions'!$C$23</x:f>
        <x:v>250</x:v>
      </x:c>
      <x:c r="N26" s="65" t="n">
        <x:f>'Assumptions'!$C$23</x:f>
        <x:v>250</x:v>
      </x:c>
      <x:c r="O26" s="65" t="n">
        <x:f>'Assumptions'!$C$23</x:f>
        <x:v>250</x:v>
      </x:c>
      <x:c r="P26" s="65" t="n">
        <x:f>'Assumptions'!$C$23</x:f>
        <x:v>250</x:v>
      </x:c>
      <x:c r="Q26" s="65" t="n">
        <x:f>'Assumptions'!$C$23</x:f>
        <x:v>250</x:v>
      </x:c>
      <x:c r="R26" s="65" t="n">
        <x:f>'Assumptions'!$C$23</x:f>
        <x:v>250</x:v>
      </x:c>
      <x:c r="S26" s="65" t="n">
        <x:f>'Assumptions'!$C$23</x:f>
        <x:v>250</x:v>
      </x:c>
      <x:c r="T26" s="65" t="n">
        <x:f>'Assumptions'!$C$23</x:f>
        <x:v>250</x:v>
      </x:c>
      <x:c r="U26" s="65" t="n">
        <x:f>'Assumptions'!$C$23</x:f>
        <x:v>250</x:v>
      </x:c>
      <x:c r="V26" s="65" t="n">
        <x:f>'Assumptions'!$C$23</x:f>
        <x:v>250</x:v>
      </x:c>
      <x:c r="W26" s="65" t="n">
        <x:f>'Assumptions'!$C$23</x:f>
        <x:v>250</x:v>
      </x:c>
      <x:c r="X26" s="65" t="n">
        <x:f>'Assumptions'!$C$23</x:f>
        <x:v>250</x:v>
      </x:c>
      <x:c r="Y26" s="66" t="n">
        <x:f>'Assumptions'!$C$23</x:f>
        <x:v>250</x:v>
      </x:c>
    </x:row>
    <x:row r="27" ht="15" hidden="0" customHeight="1">
      <x:c r="A27" s="56" t="str">
        <x:v>Total GTM Spend</x:v>
      </x:c>
      <x:c r="B27" s="65" t="n">
        <x:f>B24+B25</x:f>
        <x:v>2.67</x:v>
      </x:c>
      <x:c r="C27" s="65" t="n">
        <x:f>C24+C25</x:f>
        <x:v>2.73</x:v>
      </x:c>
      <x:c r="D27" s="65" t="n">
        <x:f>D24+D25</x:f>
        <x:v>2.4</x:v>
      </x:c>
      <x:c r="E27" s="65" t="n">
        <x:f>E24+E25</x:f>
        <x:v>0.93</x:v>
      </x:c>
      <x:c r="F27" s="65" t="n">
        <x:f>F24+F25</x:f>
        <x:v>0.345</x:v>
      </x:c>
      <x:c r="G27" s="65" t="n">
        <x:f>G24+G25</x:f>
        <x:v>0</x:v>
      </x:c>
      <x:c r="H27" s="65" t="n">
        <x:f>H24+H25</x:f>
        <x:v>0.3125</x:v>
      </x:c>
      <x:c r="I27" s="65" t="n">
        <x:f>I24+I25</x:f>
        <x:v>0.625</x:v>
      </x:c>
      <x:c r="J27" s="65" t="n">
        <x:f>J24+J25</x:f>
        <x:v>0.9375</x:v>
      </x:c>
      <x:c r="K27" s="65" t="n">
        <x:f>K24+K25</x:f>
        <x:v>1.25</x:v>
      </x:c>
      <x:c r="L27" s="65" t="n">
        <x:f>L24+L25</x:f>
        <x:v>1.25</x:v>
      </x:c>
      <x:c r="M27" s="65" t="n">
        <x:f>M24+M25</x:f>
        <x:v>1.5625</x:v>
      </x:c>
      <x:c r="N27" s="65" t="n">
        <x:f>N24+N25</x:f>
        <x:v>2.0125</x:v>
      </x:c>
      <x:c r="O27" s="65" t="n">
        <x:f>O24+O25</x:f>
        <x:v>2.9375</x:v>
      </x:c>
      <x:c r="P27" s="65" t="n">
        <x:f>P24+P25</x:f>
        <x:v>3.4000000000000004</x:v>
      </x:c>
      <x:c r="Q27" s="65" t="n">
        <x:f>Q24+Q25</x:f>
        <x:v>3.8625</x:v>
      </x:c>
      <x:c r="R27" s="65" t="n">
        <x:f>R24+R25</x:f>
        <x:v>4.7875</x:v>
      </x:c>
      <x:c r="S27" s="65" t="n">
        <x:f>S24+S25</x:f>
        <x:v>5.25</x:v>
      </x:c>
      <x:c r="T27" s="65" t="n">
        <x:f>T24+T25</x:f>
        <x:v>3.5265</x:v>
      </x:c>
      <x:c r="U27" s="65" t="n">
        <x:f>U24+U25</x:f>
        <x:v>5.096</x:v>
      </x:c>
      <x:c r="V27" s="65" t="n">
        <x:f>V24+V25</x:f>
        <x:v>6.3775</x:v>
      </x:c>
      <x:c r="W27" s="65" t="n">
        <x:f>W24+W25</x:f>
        <x:v>6.3775</x:v>
      </x:c>
      <x:c r="X27" s="65" t="n">
        <x:f>X24+X25</x:f>
        <x:v>6.58625</x:v>
      </x:c>
      <x:c r="Y27" s="66" t="n">
        <x:f>Y24+Y25</x:f>
        <x:v>6.58625</x:v>
      </x:c>
    </x:row>
    <x:row r="28" ht="15" hidden="0" customHeight="1">
      <x:c r="A28" s="56" t="str">
        <x:v>Cumulative GTM Spend</x:v>
      </x:c>
      <x:c r="B28" s="65" t="n">
        <x:f>SUM($B$27:B27)</x:f>
        <x:v>2.67</x:v>
      </x:c>
      <x:c r="C28" s="65" t="n">
        <x:f>SUM($B$27:C27)</x:f>
        <x:v>5.4</x:v>
      </x:c>
      <x:c r="D28" s="65" t="n">
        <x:f>SUM($B$27:D27)</x:f>
        <x:v>7.800000000000001</x:v>
      </x:c>
      <x:c r="E28" s="65" t="n">
        <x:f>SUM($B$27:E27)</x:f>
        <x:v>8.73</x:v>
      </x:c>
      <x:c r="F28" s="65" t="n">
        <x:f>SUM($B$27:F27)</x:f>
        <x:v>9.075000000000001</x:v>
      </x:c>
      <x:c r="G28" s="65" t="n">
        <x:f>SUM($B$27:G27)</x:f>
        <x:v>9.075000000000001</x:v>
      </x:c>
      <x:c r="H28" s="65" t="n">
        <x:f>SUM($B$27:H27)</x:f>
        <x:v>9.387500000000001</x:v>
      </x:c>
      <x:c r="I28" s="65" t="n">
        <x:f>SUM($B$27:I27)</x:f>
        <x:v>10.012500000000001</x:v>
      </x:c>
      <x:c r="J28" s="65" t="n">
        <x:f>SUM($B$27:J27)</x:f>
        <x:v>10.950000000000001</x:v>
      </x:c>
      <x:c r="K28" s="65" t="n">
        <x:f>SUM($B$27:K27)</x:f>
        <x:v>12.200000000000001</x:v>
      </x:c>
      <x:c r="L28" s="65" t="n">
        <x:f>SUM($B$27:L27)</x:f>
        <x:v>13.450000000000001</x:v>
      </x:c>
      <x:c r="M28" s="65" t="n">
        <x:f>SUM($B$27:M27)</x:f>
        <x:v>15.012500000000001</x:v>
      </x:c>
      <x:c r="N28" s="65" t="n">
        <x:f>SUM($B$27:N27)</x:f>
        <x:v>17.025000000000002</x:v>
      </x:c>
      <x:c r="O28" s="65" t="n">
        <x:f>SUM($B$27:O27)</x:f>
        <x:v>19.962500000000002</x:v>
      </x:c>
      <x:c r="P28" s="65" t="n">
        <x:f>SUM($B$27:P27)</x:f>
        <x:v>23.362500000000004</x:v>
      </x:c>
      <x:c r="Q28" s="65" t="n">
        <x:f>SUM($B$27:Q27)</x:f>
        <x:v>27.225000000000005</x:v>
      </x:c>
      <x:c r="R28" s="65" t="n">
        <x:f>SUM($B$27:R27)</x:f>
        <x:v>32.0125</x:v>
      </x:c>
      <x:c r="S28" s="65" t="n">
        <x:f>SUM($B$27:S27)</x:f>
        <x:v>37.2625</x:v>
      </x:c>
      <x:c r="T28" s="65" t="n">
        <x:f>SUM($B$27:T27)</x:f>
        <x:v>40.789</x:v>
      </x:c>
      <x:c r="U28" s="65" t="n">
        <x:f>SUM($B$27:U27)</x:f>
        <x:v>45.885000000000005</x:v>
      </x:c>
      <x:c r="V28" s="65" t="n">
        <x:f>SUM($B$27:V27)</x:f>
        <x:v>52.2625</x:v>
      </x:c>
      <x:c r="W28" s="65" t="n">
        <x:f>SUM($B$27:W27)</x:f>
        <x:v>58.64</x:v>
      </x:c>
      <x:c r="X28" s="65" t="n">
        <x:f>SUM($B$27:X27)</x:f>
        <x:v>65.22625</x:v>
      </x:c>
      <x:c r="Y28" s="66" t="n">
        <x:f>SUM($B$27:Y27)</x:f>
        <x:v>71.8125</x:v>
      </x:c>
    </x:row>
    <x:row r="29" ht="15" hidden="0" customHeight="1">
      <x:c r="A29" s="56" t="str">
        <x:v>Blended CAC (INR/user)</x:v>
      </x:c>
      <x:c r="B29" s="61" t="n">
        <x:f>IF(B20&gt;0,B27*100000/B20,0)</x:f>
        <x:v>1068</x:v>
      </x:c>
      <x:c r="C29" s="61" t="n">
        <x:f>IF(C20&gt;0,C27*100000/C20,0)</x:f>
        <x:v>780</x:v>
      </x:c>
      <x:c r="D29" s="61" t="n">
        <x:f>IF(D20&gt;0,D27*100000/D20,0)</x:f>
        <x:v>600</x:v>
      </x:c>
      <x:c r="E29" s="61" t="n">
        <x:f>IF(E20&gt;0,E27*100000/E20,0)</x:f>
        <x:v>265.7142857142857</x:v>
      </x:c>
      <x:c r="F29" s="61" t="n">
        <x:f>IF(F20&gt;0,F27*100000/F20,0)</x:f>
        <x:v>92</x:v>
      </x:c>
      <x:c r="G29" s="61" t="n">
        <x:f>IF(G20&gt;0,G27*100000/G20,0)</x:f>
        <x:v>0</x:v>
      </x:c>
      <x:c r="H29" s="61" t="n">
        <x:f>IF(H20&gt;0,H27*100000/H20,0)</x:f>
        <x:v>73.52941176470588</x:v>
      </x:c>
      <x:c r="I29" s="61" t="n">
        <x:f>IF(I20&gt;0,I27*100000/I20,0)</x:f>
        <x:v>138.88888888888889</x:v>
      </x:c>
      <x:c r="J29" s="61" t="n">
        <x:f>IF(J20&gt;0,J27*100000/J20,0)</x:f>
        <x:v>197.3684210526316</x:v>
      </x:c>
      <x:c r="K29" s="61" t="n">
        <x:f>IF(K20&gt;0,K27*100000/K20,0)</x:f>
        <x:v>250</x:v>
      </x:c>
      <x:c r="L29" s="61" t="n">
        <x:f>IF(L20&gt;0,L27*100000/L20,0)</x:f>
        <x:v>250</x:v>
      </x:c>
      <x:c r="M29" s="61" t="n">
        <x:f>IF(M20&gt;0,M27*100000/M20,0)</x:f>
        <x:v>297.6190476190476</x:v>
      </x:c>
      <x:c r="N29" s="61" t="n">
        <x:f>IF(N20&gt;0,N27*100000/N20,0)</x:f>
        <x:v>309.61538461538464</x:v>
      </x:c>
      <x:c r="O29" s="61" t="n">
        <x:f>IF(O20&gt;0,O27*100000/O20,0)</x:f>
        <x:v>391.6666666666667</x:v>
      </x:c>
      <x:c r="P29" s="61" t="n">
        <x:f>IF(P20&gt;0,P27*100000/P20,0)</x:f>
        <x:v>425.00000000000006</x:v>
      </x:c>
      <x:c r="Q29" s="61" t="n">
        <x:f>IF(Q20&gt;0,Q27*100000/Q20,0)</x:f>
        <x:v>454.4117647058824</x:v>
      </x:c>
      <x:c r="R29" s="61" t="n">
        <x:f>IF(R20&gt;0,R27*100000/R20,0)</x:f>
        <x:v>503.94736842105254</x:v>
      </x:c>
      <x:c r="S29" s="61" t="n">
        <x:f>IF(S20&gt;0,S27*100000/S20,0)</x:f>
        <x:v>525</x:v>
      </x:c>
      <x:c r="T29" s="61" t="n">
        <x:f>IF(T20&gt;0,T27*100000/T20,0)</x:f>
        <x:v>470.2</x:v>
      </x:c>
      <x:c r="U29" s="61" t="n">
        <x:f>IF(U20&gt;0,U27*100000/U20,0)</x:f>
        <x:v>637</x:v>
      </x:c>
      <x:c r="V29" s="61" t="n">
        <x:f>IF(V20&gt;0,V27*100000/V20,0)</x:f>
        <x:v>750.2941176470588</x:v>
      </x:c>
      <x:c r="W29" s="61" t="n">
        <x:f>IF(W20&gt;0,W27*100000/W20,0)</x:f>
        <x:v>750.2941176470588</x:v>
      </x:c>
      <x:c r="X29" s="61" t="n">
        <x:f>IF(X20&gt;0,X27*100000/X20,0)</x:f>
        <x:v>752.7142857142857</x:v>
      </x:c>
      <x:c r="Y29" s="62" t="n">
        <x:f>IF(Y20&gt;0,Y27*100000/Y20,0)</x:f>
        <x:v>752.7142857142857</x:v>
      </x:c>
    </x:row>
    <x:row r="30" ht="15" hidden="0" customHeight="1">
      <x:c r="A30" s="56" t="str">
        <x:v>GTM Reference Budget</x:v>
      </x:c>
      <x:c r="B30" s="65" t="n">
        <x:f>'Assumptions'!$C$7</x:f>
        <x:v>300</x:v>
      </x:c>
      <x:c r="C30" s="65" t="n">
        <x:f>'Assumptions'!$C$7</x:f>
        <x:v>300</x:v>
      </x:c>
      <x:c r="D30" s="65" t="n">
        <x:f>'Assumptions'!$C$7</x:f>
        <x:v>300</x:v>
      </x:c>
      <x:c r="E30" s="65" t="n">
        <x:f>'Assumptions'!$C$7</x:f>
        <x:v>300</x:v>
      </x:c>
      <x:c r="F30" s="65" t="n">
        <x:f>'Assumptions'!$C$7</x:f>
        <x:v>300</x:v>
      </x:c>
      <x:c r="G30" s="65" t="n">
        <x:f>'Assumptions'!$C$7</x:f>
        <x:v>300</x:v>
      </x:c>
      <x:c r="H30" s="65" t="n">
        <x:f>'Assumptions'!$C$7</x:f>
        <x:v>300</x:v>
      </x:c>
      <x:c r="I30" s="65" t="n">
        <x:f>'Assumptions'!$C$7</x:f>
        <x:v>300</x:v>
      </x:c>
      <x:c r="J30" s="65" t="n">
        <x:f>'Assumptions'!$C$7</x:f>
        <x:v>300</x:v>
      </x:c>
      <x:c r="K30" s="65" t="n">
        <x:f>'Assumptions'!$C$7</x:f>
        <x:v>300</x:v>
      </x:c>
      <x:c r="L30" s="65" t="n">
        <x:f>'Assumptions'!$C$7</x:f>
        <x:v>300</x:v>
      </x:c>
      <x:c r="M30" s="65" t="n">
        <x:f>'Assumptions'!$C$7</x:f>
        <x:v>300</x:v>
      </x:c>
      <x:c r="N30" s="65" t="n">
        <x:f>'Assumptions'!$C$7</x:f>
        <x:v>300</x:v>
      </x:c>
      <x:c r="O30" s="65" t="n">
        <x:f>'Assumptions'!$C$7</x:f>
        <x:v>300</x:v>
      </x:c>
      <x:c r="P30" s="65" t="n">
        <x:f>'Assumptions'!$C$7</x:f>
        <x:v>300</x:v>
      </x:c>
      <x:c r="Q30" s="65" t="n">
        <x:f>'Assumptions'!$C$7</x:f>
        <x:v>300</x:v>
      </x:c>
      <x:c r="R30" s="65" t="n">
        <x:f>'Assumptions'!$C$7</x:f>
        <x:v>300</x:v>
      </x:c>
      <x:c r="S30" s="65" t="n">
        <x:f>'Assumptions'!$C$7</x:f>
        <x:v>300</x:v>
      </x:c>
      <x:c r="T30" s="65" t="n">
        <x:f>'Assumptions'!$C$7</x:f>
        <x:v>300</x:v>
      </x:c>
      <x:c r="U30" s="65" t="n">
        <x:f>'Assumptions'!$C$7</x:f>
        <x:v>300</x:v>
      </x:c>
      <x:c r="V30" s="65" t="n">
        <x:f>'Assumptions'!$C$7</x:f>
        <x:v>300</x:v>
      </x:c>
      <x:c r="W30" s="65" t="n">
        <x:f>'Assumptions'!$C$7</x:f>
        <x:v>300</x:v>
      </x:c>
      <x:c r="X30" s="65" t="n">
        <x:f>'Assumptions'!$C$7</x:f>
        <x:v>300</x:v>
      </x:c>
      <x:c r="Y30" s="66" t="n">
        <x:f>'Assumptions'!$C$7</x:f>
        <x:v>300</x:v>
      </x:c>
    </x:row>
    <x:row r="31" ht="15" hidden="0" customHeight="1">
      <x:c r="A31" s="56" t="str">
        <x:v>Variance vs INR 3 crore</x:v>
      </x:c>
      <x:c r="B31" s="65" t="n">
        <x:f>B30-B28</x:f>
        <x:v>297.33</x:v>
      </x:c>
      <x:c r="C31" s="65" t="n">
        <x:f>C30-C28</x:f>
        <x:v>294.6</x:v>
      </x:c>
      <x:c r="D31" s="65" t="n">
        <x:f>D30-D28</x:f>
        <x:v>292.2</x:v>
      </x:c>
      <x:c r="E31" s="65" t="n">
        <x:f>E30-E28</x:f>
        <x:v>291.27</x:v>
      </x:c>
      <x:c r="F31" s="65" t="n">
        <x:f>F30-F28</x:f>
        <x:v>290.925</x:v>
      </x:c>
      <x:c r="G31" s="65" t="n">
        <x:f>G30-G28</x:f>
        <x:v>290.925</x:v>
      </x:c>
      <x:c r="H31" s="65" t="n">
        <x:f>H30-H28</x:f>
        <x:v>290.6125</x:v>
      </x:c>
      <x:c r="I31" s="65" t="n">
        <x:f>I30-I28</x:f>
        <x:v>289.9875</x:v>
      </x:c>
      <x:c r="J31" s="65" t="n">
        <x:f>J30-J28</x:f>
        <x:v>289.05</x:v>
      </x:c>
      <x:c r="K31" s="65" t="n">
        <x:f>K30-K28</x:f>
        <x:v>287.8</x:v>
      </x:c>
      <x:c r="L31" s="65" t="n">
        <x:f>L30-L28</x:f>
        <x:v>286.55</x:v>
      </x:c>
      <x:c r="M31" s="65" t="n">
        <x:f>M30-M28</x:f>
        <x:v>284.9875</x:v>
      </x:c>
      <x:c r="N31" s="65" t="n">
        <x:f>N30-N28</x:f>
        <x:v>282.975</x:v>
      </x:c>
      <x:c r="O31" s="65" t="n">
        <x:f>O30-O28</x:f>
        <x:v>280.0375</x:v>
      </x:c>
      <x:c r="P31" s="65" t="n">
        <x:f>P30-P28</x:f>
        <x:v>276.6375</x:v>
      </x:c>
      <x:c r="Q31" s="65" t="n">
        <x:f>Q30-Q28</x:f>
        <x:v>272.775</x:v>
      </x:c>
      <x:c r="R31" s="65" t="n">
        <x:f>R30-R28</x:f>
        <x:v>267.9875</x:v>
      </x:c>
      <x:c r="S31" s="65" t="n">
        <x:f>S30-S28</x:f>
        <x:v>262.7375</x:v>
      </x:c>
      <x:c r="T31" s="65" t="n">
        <x:f>T30-T28</x:f>
        <x:v>259.211</x:v>
      </x:c>
      <x:c r="U31" s="65" t="n">
        <x:f>U30-U28</x:f>
        <x:v>254.115</x:v>
      </x:c>
      <x:c r="V31" s="65" t="n">
        <x:f>V30-V28</x:f>
        <x:v>247.7375</x:v>
      </x:c>
      <x:c r="W31" s="65" t="n">
        <x:f>W30-W28</x:f>
        <x:v>241.36</x:v>
      </x:c>
      <x:c r="X31" s="65" t="n">
        <x:f>X30-X28</x:f>
        <x:v>234.77375</x:v>
      </x:c>
      <x:c r="Y31" s="66" t="n">
        <x:f>Y30-Y28</x:f>
        <x:v>228.1875</x:v>
      </x:c>
    </x:row>
    <x:row r="32" ht="15" hidden="0" customHeight="1">
      <x:c r="A32" s="56" t="str">
        <x:v>Budget Utilisation %</x:v>
      </x:c>
      <x:c r="B32" s="67" t="n">
        <x:f>IF(B30&gt;0,B28/B30,0)</x:f>
        <x:v>0.0089</x:v>
      </x:c>
      <x:c r="C32" s="67" t="n">
        <x:f>IF(C30&gt;0,C28/C30,0)</x:f>
        <x:v>0.018000000000000002</x:v>
      </x:c>
      <x:c r="D32" s="67" t="n">
        <x:f>IF(D30&gt;0,D28/D30,0)</x:f>
        <x:v>0.026000000000000002</x:v>
      </x:c>
      <x:c r="E32" s="67" t="n">
        <x:f>IF(E30&gt;0,E28/E30,0)</x:f>
        <x:v>0.0291</x:v>
      </x:c>
      <x:c r="F32" s="67" t="n">
        <x:f>IF(F30&gt;0,F28/F30,0)</x:f>
        <x:v>0.030250000000000003</x:v>
      </x:c>
      <x:c r="G32" s="67" t="n">
        <x:f>IF(G30&gt;0,G28/G30,0)</x:f>
        <x:v>0.030250000000000003</x:v>
      </x:c>
      <x:c r="H32" s="67" t="n">
        <x:f>IF(H30&gt;0,H28/H30,0)</x:f>
        <x:v>0.03129166666666667</x:v>
      </x:c>
      <x:c r="I32" s="67" t="n">
        <x:f>IF(I30&gt;0,I28/I30,0)</x:f>
        <x:v>0.033375</x:v>
      </x:c>
      <x:c r="J32" s="67" t="n">
        <x:f>IF(J30&gt;0,J28/J30,0)</x:f>
        <x:v>0.036500000000000005</x:v>
      </x:c>
      <x:c r="K32" s="67" t="n">
        <x:f>IF(K30&gt;0,K28/K30,0)</x:f>
        <x:v>0.04066666666666667</x:v>
      </x:c>
      <x:c r="L32" s="67" t="n">
        <x:f>IF(L30&gt;0,L28/L30,0)</x:f>
        <x:v>0.044833333333333336</x:v>
      </x:c>
      <x:c r="M32" s="67" t="n">
        <x:f>IF(M30&gt;0,M28/M30,0)</x:f>
        <x:v>0.05004166666666667</x:v>
      </x:c>
      <x:c r="N32" s="67" t="n">
        <x:f>IF(N30&gt;0,N28/N30,0)</x:f>
        <x:v>0.05675000000000001</x:v>
      </x:c>
      <x:c r="O32" s="67" t="n">
        <x:f>IF(O30&gt;0,O28/O30,0)</x:f>
        <x:v>0.06654166666666668</x:v>
      </x:c>
      <x:c r="P32" s="67" t="n">
        <x:f>IF(P30&gt;0,P28/P30,0)</x:f>
        <x:v>0.07787500000000001</x:v>
      </x:c>
      <x:c r="Q32" s="67" t="n">
        <x:f>IF(Q30&gt;0,Q28/Q30,0)</x:f>
        <x:v>0.09075000000000001</x:v>
      </x:c>
      <x:c r="R32" s="67" t="n">
        <x:f>IF(R30&gt;0,R28/R30,0)</x:f>
        <x:v>0.10670833333333335</x:v>
      </x:c>
      <x:c r="S32" s="67" t="n">
        <x:f>IF(S30&gt;0,S28/S30,0)</x:f>
        <x:v>0.12420833333333334</x:v>
      </x:c>
      <x:c r="T32" s="67" t="n">
        <x:f>IF(T30&gt;0,T28/T30,0)</x:f>
        <x:v>0.13596333333333332</x:v>
      </x:c>
      <x:c r="U32" s="67" t="n">
        <x:f>IF(U30&gt;0,U28/U30,0)</x:f>
        <x:v>0.15295000000000003</x:v>
      </x:c>
      <x:c r="V32" s="67" t="n">
        <x:f>IF(V30&gt;0,V28/V30,0)</x:f>
        <x:v>0.17420833333333335</x:v>
      </x:c>
      <x:c r="W32" s="67" t="n">
        <x:f>IF(W30&gt;0,W28/W30,0)</x:f>
        <x:v>0.19546666666666668</x:v>
      </x:c>
      <x:c r="X32" s="67" t="n">
        <x:f>IF(X30&gt;0,X28/X30,0)</x:f>
        <x:v>0.2174208333333333</x:v>
      </x:c>
      <x:c r="Y32" s="68" t="n">
        <x:f>IF(Y30&gt;0,Y28/Y30,0)</x:f>
        <x:v>0.239375</x:v>
      </x:c>
    </x:row>
    <x:row r="33" ht="15" hidden="0" customHeight="1">
      <x:c r="A33" s="56" t="str">
        <x:v>GTM Budget Flag</x:v>
      </x:c>
      <x:c r="B33" s="20" t="str">
        <x:f>IF(B28&gt;B30,"FLAG - ABOVE INR 3 CRORE","OK")</x:f>
        <x:v>OK</x:v>
      </x:c>
      <x:c r="C33" s="20" t="str">
        <x:f>IF(C28&gt;C30,"FLAG - ABOVE INR 3 CRORE","OK")</x:f>
        <x:v>OK</x:v>
      </x:c>
      <x:c r="D33" s="20" t="str">
        <x:f>IF(D28&gt;D30,"FLAG - ABOVE INR 3 CRORE","OK")</x:f>
        <x:v>OK</x:v>
      </x:c>
      <x:c r="E33" s="20" t="str">
        <x:f>IF(E28&gt;E30,"FLAG - ABOVE INR 3 CRORE","OK")</x:f>
        <x:v>OK</x:v>
      </x:c>
      <x:c r="F33" s="20" t="str">
        <x:f>IF(F28&gt;F30,"FLAG - ABOVE INR 3 CRORE","OK")</x:f>
        <x:v>OK</x:v>
      </x:c>
      <x:c r="G33" s="20" t="str">
        <x:f>IF(G28&gt;G30,"FLAG - ABOVE INR 3 CRORE","OK")</x:f>
        <x:v>OK</x:v>
      </x:c>
      <x:c r="H33" s="20" t="str">
        <x:f>IF(H28&gt;H30,"FLAG - ABOVE INR 3 CRORE","OK")</x:f>
        <x:v>OK</x:v>
      </x:c>
      <x:c r="I33" s="20" t="str">
        <x:f>IF(I28&gt;I30,"FLAG - ABOVE INR 3 CRORE","OK")</x:f>
        <x:v>OK</x:v>
      </x:c>
      <x:c r="J33" s="20" t="str">
        <x:f>IF(J28&gt;J30,"FLAG - ABOVE INR 3 CRORE","OK")</x:f>
        <x:v>OK</x:v>
      </x:c>
      <x:c r="K33" s="20" t="str">
        <x:f>IF(K28&gt;K30,"FLAG - ABOVE INR 3 CRORE","OK")</x:f>
        <x:v>OK</x:v>
      </x:c>
      <x:c r="L33" s="20" t="str">
        <x:f>IF(L28&gt;L30,"FLAG - ABOVE INR 3 CRORE","OK")</x:f>
        <x:v>OK</x:v>
      </x:c>
      <x:c r="M33" s="20" t="str">
        <x:f>IF(M28&gt;M30,"FLAG - ABOVE INR 3 CRORE","OK")</x:f>
        <x:v>OK</x:v>
      </x:c>
      <x:c r="N33" s="20" t="str">
        <x:f>IF(N28&gt;N30,"FLAG - ABOVE INR 3 CRORE","OK")</x:f>
        <x:v>OK</x:v>
      </x:c>
      <x:c r="O33" s="20" t="str">
        <x:f>IF(O28&gt;O30,"FLAG - ABOVE INR 3 CRORE","OK")</x:f>
        <x:v>OK</x:v>
      </x:c>
      <x:c r="P33" s="20" t="str">
        <x:f>IF(P28&gt;P30,"FLAG - ABOVE INR 3 CRORE","OK")</x:f>
        <x:v>OK</x:v>
      </x:c>
      <x:c r="Q33" s="20" t="str">
        <x:f>IF(Q28&gt;Q30,"FLAG - ABOVE INR 3 CRORE","OK")</x:f>
        <x:v>OK</x:v>
      </x:c>
      <x:c r="R33" s="20" t="str">
        <x:f>IF(R28&gt;R30,"FLAG - ABOVE INR 3 CRORE","OK")</x:f>
        <x:v>OK</x:v>
      </x:c>
      <x:c r="S33" s="20" t="str">
        <x:f>IF(S28&gt;S30,"FLAG - ABOVE INR 3 CRORE","OK")</x:f>
        <x:v>OK</x:v>
      </x:c>
      <x:c r="T33" s="20" t="str">
        <x:f>IF(T28&gt;T30,"FLAG - ABOVE INR 3 CRORE","OK")</x:f>
        <x:v>OK</x:v>
      </x:c>
      <x:c r="U33" s="20" t="str">
        <x:f>IF(U28&gt;U30,"FLAG - ABOVE INR 3 CRORE","OK")</x:f>
        <x:v>OK</x:v>
      </x:c>
      <x:c r="V33" s="20" t="str">
        <x:f>IF(V28&gt;V30,"FLAG - ABOVE INR 3 CRORE","OK")</x:f>
        <x:v>OK</x:v>
      </x:c>
      <x:c r="W33" s="20" t="str">
        <x:f>IF(W28&gt;W30,"FLAG - ABOVE INR 3 CRORE","OK")</x:f>
        <x:v>OK</x:v>
      </x:c>
      <x:c r="X33" s="20" t="str">
        <x:f>IF(X28&gt;X30,"FLAG - ABOVE INR 3 CRORE","OK")</x:f>
        <x:v>OK</x:v>
      </x:c>
      <x:c r="Y33" s="22" t="str">
        <x:f>IF(Y28&gt;Y30,"FLAG - ABOVE INR 3 CRORE","OK")</x:f>
        <x:v>OK</x:v>
      </x:c>
    </x:row>
    <x:row r="34" ht="15" hidden="0" customHeight="1">
      <x:c r="A34" s="53" t="str">
        <x:v>Monetisation Funnel</x:v>
      </x:c>
      <x:c r="B34" s="54" t="str">
        <x:v>Monetisation Funnel</x:v>
      </x:c>
      <x:c r="C34" s="54" t="str">
        <x:v>Monetisation Funnel</x:v>
      </x:c>
      <x:c r="D34" s="54" t="str">
        <x:v>Monetisation Funnel</x:v>
      </x:c>
      <x:c r="E34" s="54" t="str">
        <x:v>Monetisation Funnel</x:v>
      </x:c>
      <x:c r="F34" s="54" t="str">
        <x:v>Monetisation Funnel</x:v>
      </x:c>
      <x:c r="G34" s="54" t="str">
        <x:v>Monetisation Funnel</x:v>
      </x:c>
      <x:c r="H34" s="54" t="str">
        <x:v>Monetisation Funnel</x:v>
      </x:c>
      <x:c r="I34" s="54" t="str">
        <x:v>Monetisation Funnel</x:v>
      </x:c>
      <x:c r="J34" s="54" t="str">
        <x:v>Monetisation Funnel</x:v>
      </x:c>
      <x:c r="K34" s="54" t="str">
        <x:v>Monetisation Funnel</x:v>
      </x:c>
      <x:c r="L34" s="54" t="str">
        <x:v>Monetisation Funnel</x:v>
      </x:c>
      <x:c r="M34" s="54" t="str">
        <x:v>Monetisation Funnel</x:v>
      </x:c>
      <x:c r="N34" s="54" t="str">
        <x:v>Monetisation Funnel</x:v>
      </x:c>
      <x:c r="O34" s="54" t="str">
        <x:v>Monetisation Funnel</x:v>
      </x:c>
      <x:c r="P34" s="54" t="str">
        <x:v>Monetisation Funnel</x:v>
      </x:c>
      <x:c r="Q34" s="54" t="str">
        <x:v>Monetisation Funnel</x:v>
      </x:c>
      <x:c r="R34" s="54" t="str">
        <x:v>Monetisation Funnel</x:v>
      </x:c>
      <x:c r="S34" s="54" t="str">
        <x:v>Monetisation Funnel</x:v>
      </x:c>
      <x:c r="T34" s="54" t="str">
        <x:v>Monetisation Funnel</x:v>
      </x:c>
      <x:c r="U34" s="54" t="str">
        <x:v>Monetisation Funnel</x:v>
      </x:c>
      <x:c r="V34" s="54" t="str">
        <x:v>Monetisation Funnel</x:v>
      </x:c>
      <x:c r="W34" s="54" t="str">
        <x:v>Monetisation Funnel</x:v>
      </x:c>
      <x:c r="X34" s="54" t="str">
        <x:v>Monetisation Funnel</x:v>
      </x:c>
      <x:c r="Y34" s="55" t="str">
        <x:v>Monetisation Funnel</x:v>
      </x:c>
    </x:row>
    <x:row r="35" ht="15" hidden="0" customHeight="1">
      <x:c r="A35" s="56" t="str">
        <x:v>Active User Rate</x:v>
      </x:c>
      <x:c r="B35" s="67" t="n">
        <x:f>'Assumptions'!B56</x:f>
        <x:v>0.2</x:v>
      </x:c>
      <x:c r="C35" s="67" t="n">
        <x:f>'Assumptions'!C56</x:f>
        <x:v>0.21521739130434783</x:v>
      </x:c>
      <x:c r="D35" s="67" t="n">
        <x:f>'Assumptions'!D56</x:f>
        <x:v>0.23043478260869565</x:v>
      </x:c>
      <x:c r="E35" s="67" t="n">
        <x:f>'Assumptions'!E56</x:f>
        <x:v>0.2456521739130435</x:v>
      </x:c>
      <x:c r="F35" s="67" t="n">
        <x:f>'Assumptions'!F56</x:f>
        <x:v>0.2608695652173913</x:v>
      </x:c>
      <x:c r="G35" s="67" t="n">
        <x:f>'Assumptions'!G56</x:f>
        <x:v>0.27608695652173915</x:v>
      </x:c>
      <x:c r="H35" s="67" t="n">
        <x:f>'Assumptions'!H56</x:f>
        <x:v>0.29130434782608694</x:v>
      </x:c>
      <x:c r="I35" s="67" t="n">
        <x:f>'Assumptions'!I56</x:f>
        <x:v>0.3065217391304348</x:v>
      </x:c>
      <x:c r="J35" s="67" t="n">
        <x:f>'Assumptions'!J56</x:f>
        <x:v>0.32173913043478264</x:v>
      </x:c>
      <x:c r="K35" s="67" t="n">
        <x:f>'Assumptions'!K56</x:f>
        <x:v>0.3369565217391305</x:v>
      </x:c>
      <x:c r="L35" s="67" t="n">
        <x:f>'Assumptions'!L56</x:f>
        <x:v>0.3521739130434783</x:v>
      </x:c>
      <x:c r="M35" s="67" t="n">
        <x:f>'Assumptions'!M56</x:f>
        <x:v>0.36739130434782613</x:v>
      </x:c>
      <x:c r="N35" s="67" t="n">
        <x:f>'Assumptions'!N56</x:f>
        <x:v>0.3826086956521739</x:v>
      </x:c>
      <x:c r="O35" s="67" t="n">
        <x:f>'Assumptions'!O56</x:f>
        <x:v>0.3978260869565218</x:v>
      </x:c>
      <x:c r="P35" s="67" t="n">
        <x:f>'Assumptions'!P56</x:f>
        <x:v>0.4130434782608696</x:v>
      </x:c>
      <x:c r="Q35" s="67" t="n">
        <x:f>'Assumptions'!Q56</x:f>
        <x:v>0.4282608695652175</x:v>
      </x:c>
      <x:c r="R35" s="67" t="n">
        <x:f>'Assumptions'!R56</x:f>
        <x:v>0.4434782608695652</x:v>
      </x:c>
      <x:c r="S35" s="67" t="n">
        <x:f>'Assumptions'!S56</x:f>
        <x:v>0.45869565217391306</x:v>
      </x:c>
      <x:c r="T35" s="67" t="n">
        <x:f>'Assumptions'!T56</x:f>
        <x:v>0.4739130434782609</x:v>
      </x:c>
      <x:c r="U35" s="67" t="n">
        <x:f>'Assumptions'!U56</x:f>
        <x:v>0.4891304347826087</x:v>
      </x:c>
      <x:c r="V35" s="67" t="n">
        <x:f>'Assumptions'!V56</x:f>
        <x:v>0.5043478260869565</x:v>
      </x:c>
      <x:c r="W35" s="67" t="n">
        <x:f>'Assumptions'!W56</x:f>
        <x:v>0.5195652173913043</x:v>
      </x:c>
      <x:c r="X35" s="67" t="n">
        <x:f>'Assumptions'!X56</x:f>
        <x:v>0.5347826086956522</x:v>
      </x:c>
      <x:c r="Y35" s="68" t="n">
        <x:f>'Assumptions'!Y56</x:f>
        <x:v>0.55</x:v>
      </x:c>
    </x:row>
    <x:row r="36" ht="15" hidden="0" customHeight="1">
      <x:c r="A36" s="56" t="str">
        <x:v>Active Users</x:v>
      </x:c>
      <x:c r="B36" s="61" t="n">
        <x:f>MIN(B21,B21*B35)</x:f>
        <x:v>50</x:v>
      </x:c>
      <x:c r="C36" s="61" t="n">
        <x:f>MIN(C21,C21*C35)</x:f>
        <x:v>129.1304347826087</x:v>
      </x:c>
      <x:c r="D36" s="61" t="n">
        <x:f>MIN(D21,D21*D35)</x:f>
        <x:v>230.43478260869566</x:v>
      </x:c>
      <x:c r="E36" s="61" t="n">
        <x:f>MIN(E21,E21*E35)</x:f>
        <x:v>331.63043478260875</x:v>
      </x:c>
      <x:c r="F36" s="61" t="n">
        <x:f>MIN(F21,F21*F35)</x:f>
        <x:v>450</x:v>
      </x:c>
      <x:c r="G36" s="61" t="n">
        <x:f>MIN(G21,G21*G35)</x:f>
        <x:v>586.6847826086957</x:v>
      </x:c>
      <x:c r="H36" s="61" t="n">
        <x:f>MIN(H21,H21*H35)</x:f>
        <x:v>742.8260869565217</x:v>
      </x:c>
      <x:c r="I36" s="61" t="n">
        <x:f>MIN(I21,I21*I35)</x:f>
        <x:v>919.5652173913044</x:v>
      </x:c>
      <x:c r="J36" s="61" t="n">
        <x:f>MIN(J21,J21*J35)</x:f>
        <x:v>1118.0434782608697</x:v>
      </x:c>
      <x:c r="K36" s="61" t="n">
        <x:f>MIN(K21,K21*K35)</x:f>
        <x:v>1339.4021739130437</x:v>
      </x:c>
      <x:c r="L36" s="61" t="n">
        <x:f>MIN(L21,L21*L35)</x:f>
        <x:v>1575.9782608695652</x:v>
      </x:c>
      <x:c r="M36" s="61" t="n">
        <x:f>MIN(M21,M21*M35)</x:f>
        <x:v>1836.9565217391307</x:v>
      </x:c>
      <x:c r="N36" s="61" t="n">
        <x:f>MIN(N21,N21*N35)</x:f>
        <x:v>2161.7391304347825</x:v>
      </x:c>
      <x:c r="O36" s="61" t="n">
        <x:f>MIN(O21,O21*O35)</x:f>
        <x:v>2546.0869565217395</x:v>
      </x:c>
      <x:c r="P36" s="61" t="n">
        <x:f>MIN(P21,P21*P35)</x:f>
        <x:v>2973.9130434782614</x:v>
      </x:c>
      <x:c r="Q36" s="61" t="n">
        <x:f>MIN(Q21,Q21*Q35)</x:f>
        <x:v>3447.5000000000005</x:v>
      </x:c>
      <x:c r="R36" s="61" t="n">
        <x:f>MIN(R21,R21*R35)</x:f>
        <x:v>3991.304347826087</x:v>
      </x:c>
      <x:c r="S36" s="61" t="n">
        <x:f>MIN(S21,S21*S35)</x:f>
        <x:v>4586.956521739131</x:v>
      </x:c>
      <x:c r="T36" s="61" t="n">
        <x:f>MIN(T21,T21*T35)</x:f>
        <x:v>5094.565217391305</x:v>
      </x:c>
      <x:c r="U36" s="61" t="n">
        <x:f>MIN(U21,U21*U35)</x:f>
        <x:v>5649.456521739131</x:v>
      </x:c>
      <x:c r="V36" s="61" t="n">
        <x:f>MIN(V21,V21*V35)</x:f>
        <x:v>6253.913043478261</x:v>
      </x:c>
      <x:c r="W36" s="61" t="n">
        <x:f>MIN(W21,W21*W35)</x:f>
        <x:v>6884.239130434783</x:v>
      </x:c>
      <x:c r="X36" s="61" t="n">
        <x:f>MIN(X21,X21*X35)</x:f>
        <x:v>7553.804347826087</x:v>
      </x:c>
      <x:c r="Y36" s="62" t="n">
        <x:f>MIN(Y21,Y21*Y35)</x:f>
        <x:v>8250</x:v>
      </x:c>
    </x:row>
    <x:row r="37" ht="15" hidden="0" customHeight="1">
      <x:c r="A37" s="56" t="str">
        <x:v>Opening Paying Subscribers</x:v>
      </x:c>
      <x:c r="B37" s="61" t="n">
        <x:f>0</x:f>
        <x:v>0</x:v>
      </x:c>
      <x:c r="C37" s="61" t="n">
        <x:f>B41</x:f>
        <x:v>4.49</x:v>
      </x:c>
      <x:c r="D37" s="61" t="n">
        <x:f>C41</x:f>
        <x:v>14.97391304347826</x:v>
      </x:c>
      <x:c r="E37" s="61" t="n">
        <x:f>D41</x:f>
        <x:v>29.991304347826087</x:v>
      </x:c>
      <x:c r="F37" s="61" t="n">
        <x:f>E41</x:f>
        <x:v>47.00347826086957</x:v>
      </x:c>
      <x:c r="G37" s="61" t="n">
        <x:f>F41</x:f>
        <x:v>66.91630434782607</x:v>
      </x:c>
      <x:c r="H37" s="61" t="n">
        <x:f>G41</x:f>
        <x:v>88.88913043478261</x:v>
      </x:c>
      <x:c r="I37" s="61" t="n">
        <x:f>H41</x:f>
        <x:v>111.47608695652174</x:v>
      </x:c>
      <x:c r="J37" s="61" t="n">
        <x:f>I41</x:f>
        <x:v>134.9217391304348</x:v>
      </x:c>
      <x:c r="K37" s="61" t="n">
        <x:f>J41</x:f>
        <x:v>159.47065217391304</x:v>
      </x:c>
      <x:c r="L37" s="61" t="n">
        <x:f>K41</x:f>
        <x:v>185.36739130434782</x:v>
      </x:c>
      <x:c r="M37" s="61" t="n">
        <x:f>L41</x:f>
        <x:v>211.9163043478261</x:v>
      </x:c>
      <x:c r="N37" s="61" t="n">
        <x:f>M41</x:f>
        <x:v>240.1391304347826</x:v>
      </x:c>
      <x:c r="O37" s="61" t="n">
        <x:f>N41</x:f>
        <x:v>274.69347826086954</x:v>
      </x:c>
      <x:c r="P37" s="61" t="n">
        <x:f>O41</x:f>
        <x:v>315.61739130434785</x:v>
      </x:c>
      <x:c r="Q37" s="61" t="n">
        <x:f>P41</x:f>
        <x:v>361.3565217391304</x:v>
      </x:c>
      <x:c r="R37" s="61" t="n">
        <x:f>Q41</x:f>
        <x:v>412.4</x:v>
      </x:c>
      <x:c r="S37" s="61" t="n">
        <x:f>R41</x:f>
        <x:v>472.09565217391304</x:v>
      </x:c>
      <x:c r="T37" s="61" t="n">
        <x:f>S41</x:f>
        <x:v>538.3999999999999</x:v>
      </x:c>
      <x:c r="U37" s="61" t="n">
        <x:f>T41</x:f>
        <x:v>594.0082608695652</x:v>
      </x:c>
      <x:c r="V37" s="61" t="n">
        <x:f>U41</x:f>
        <x:v>658.0434782608696</x:v>
      </x:c>
      <x:c r="W37" s="61" t="n">
        <x:f>V41</x:f>
        <x:v>731.6</x:v>
      </x:c>
      <x:c r="X37" s="61" t="n">
        <x:f>W41</x:f>
        <x:v>810.1782608695652</x:v>
      </x:c>
      <x:c r="Y37" s="62" t="n">
        <x:f>X41</x:f>
        <x:v>895.6967391304348</x:v>
      </x:c>
    </x:row>
    <x:row r="38" ht="15" hidden="0" customHeight="1">
      <x:c r="A38" s="56" t="str">
        <x:v>Desired Paying Subscribers</x:v>
      </x:c>
      <x:c r="B38" s="61" t="n">
        <x:f>MIN(B36,(B13*'Assumptions'!$C$17)+(MAX(0,B21-B13)*'Assumptions'!B57))</x:f>
        <x:v>4.49</x:v>
      </x:c>
      <x:c r="C38" s="61" t="n">
        <x:f>MIN(C36,(C13*'Assumptions'!$C$17)+(MAX(0,C21-C13)*'Assumptions'!C57))</x:f>
        <x:v>14.97391304347826</x:v>
      </x:c>
      <x:c r="D38" s="61" t="n">
        <x:f>MIN(D36,(D13*'Assumptions'!$C$17)+(MAX(0,D21-D13)*'Assumptions'!D57))</x:f>
        <x:v>29.991304347826087</x:v>
      </x:c>
      <x:c r="E38" s="61" t="n">
        <x:f>MIN(E36,(E13*'Assumptions'!$C$17)+(MAX(0,E21-E13)*'Assumptions'!E57))</x:f>
        <x:v>47.00347826086957</x:v>
      </x:c>
      <x:c r="F38" s="61" t="n">
        <x:f>MIN(F36,(F13*'Assumptions'!$C$17)+(MAX(0,F21-F13)*'Assumptions'!F57))</x:f>
        <x:v>66.91630434782608</x:v>
      </x:c>
      <x:c r="G38" s="61" t="n">
        <x:f>MIN(G36,(G13*'Assumptions'!$C$17)+(MAX(0,G21-G13)*'Assumptions'!G57))</x:f>
        <x:v>88.88913043478261</x:v>
      </x:c>
      <x:c r="H38" s="61" t="n">
        <x:f>MIN(H36,(H13*'Assumptions'!$C$17)+(MAX(0,H21-H13)*'Assumptions'!H57))</x:f>
        <x:v>111.47608695652174</x:v>
      </x:c>
      <x:c r="I38" s="61" t="n">
        <x:f>MIN(I36,(I13*'Assumptions'!$C$17)+(MAX(0,I21-I13)*'Assumptions'!I57))</x:f>
        <x:v>134.9217391304348</x:v>
      </x:c>
      <x:c r="J38" s="61" t="n">
        <x:f>MIN(J36,(J13*'Assumptions'!$C$17)+(MAX(0,J21-J13)*'Assumptions'!J57))</x:f>
        <x:v>159.47065217391304</x:v>
      </x:c>
      <x:c r="K38" s="61" t="n">
        <x:f>MIN(K36,(K13*'Assumptions'!$C$17)+(MAX(0,K21-K13)*'Assumptions'!K57))</x:f>
        <x:v>185.36739130434782</x:v>
      </x:c>
      <x:c r="L38" s="61" t="n">
        <x:f>MIN(L36,(L13*'Assumptions'!$C$17)+(MAX(0,L21-L13)*'Assumptions'!L57))</x:f>
        <x:v>211.9163043478261</x:v>
      </x:c>
      <x:c r="M38" s="61" t="n">
        <x:f>MIN(M36,(M13*'Assumptions'!$C$17)+(MAX(0,M21-M13)*'Assumptions'!M57))</x:f>
        <x:v>240.1391304347826</x:v>
      </x:c>
      <x:c r="N38" s="61" t="n">
        <x:f>MIN(N36,(N13*'Assumptions'!$C$17)+(MAX(0,N21-N13)*'Assumptions'!N57))</x:f>
        <x:v>274.69347826086954</x:v>
      </x:c>
      <x:c r="O38" s="61" t="n">
        <x:f>MIN(O36,(O13*'Assumptions'!$C$17)+(MAX(0,O21-O13)*'Assumptions'!O57))</x:f>
        <x:v>315.61739130434785</x:v>
      </x:c>
      <x:c r="P38" s="61" t="n">
        <x:f>MIN(P36,(P13*'Assumptions'!$C$17)+(MAX(0,P21-P13)*'Assumptions'!P57))</x:f>
        <x:v>361.3565217391304</x:v>
      </x:c>
      <x:c r="Q38" s="61" t="n">
        <x:f>MIN(Q36,(Q13*'Assumptions'!$C$17)+(MAX(0,Q21-Q13)*'Assumptions'!Q57))</x:f>
        <x:v>412.4</x:v>
      </x:c>
      <x:c r="R38" s="61" t="n">
        <x:f>MIN(R36,(R13*'Assumptions'!$C$17)+(MAX(0,R21-R13)*'Assumptions'!R57))</x:f>
        <x:v>472.09565217391304</x:v>
      </x:c>
      <x:c r="S38" s="61" t="n">
        <x:f>MIN(S36,(S13*'Assumptions'!$C$17)+(MAX(0,S21-S13)*'Assumptions'!S57))</x:f>
        <x:v>538.4</x:v>
      </x:c>
      <x:c r="T38" s="61" t="n">
        <x:f>MIN(T36,(T13*'Assumptions'!$C$17)+(MAX(0,T21-T13)*'Assumptions'!T57))</x:f>
        <x:v>594.0082608695652</x:v>
      </x:c>
      <x:c r="U38" s="61" t="n">
        <x:f>MIN(U36,(U13*'Assumptions'!$C$17)+(MAX(0,U21-U13)*'Assumptions'!U57))</x:f>
        <x:v>658.0434782608696</x:v>
      </x:c>
      <x:c r="V38" s="61" t="n">
        <x:f>MIN(V36,(V13*'Assumptions'!$C$17)+(MAX(0,V21-V13)*'Assumptions'!V57))</x:f>
        <x:v>731.6</x:v>
      </x:c>
      <x:c r="W38" s="61" t="n">
        <x:f>MIN(W36,(W13*'Assumptions'!$C$17)+(MAX(0,W21-W13)*'Assumptions'!W57))</x:f>
        <x:v>810.1782608695652</x:v>
      </x:c>
      <x:c r="X38" s="61" t="n">
        <x:f>MIN(X36,(X13*'Assumptions'!$C$17)+(MAX(0,X21-X13)*'Assumptions'!X57))</x:f>
        <x:v>895.6967391304348</x:v>
      </x:c>
      <x:c r="Y38" s="62" t="n">
        <x:f>MIN(Y36,(Y13*'Assumptions'!$C$17)+(MAX(0,Y21-Y13)*'Assumptions'!Y57))</x:f>
        <x:v>986.4</x:v>
      </x:c>
    </x:row>
    <x:row r="39" ht="15" hidden="0" customHeight="1">
      <x:c r="A39" s="56" t="str">
        <x:v>Gross New Paying Subscribers</x:v>
      </x:c>
      <x:c r="B39" s="61" t="n">
        <x:f>MAX(0,B38-(B37-B40))</x:f>
        <x:v>4.49</x:v>
      </x:c>
      <x:c r="C39" s="61" t="n">
        <x:f>MAX(0,C38-(C37-C40))</x:f>
        <x:v>10.790404347826087</x:v>
      </x:c>
      <x:c r="D39" s="61" t="n">
        <x:f>MAX(0,D38-(D37-D40))</x:f>
        <x:v>16.013482041587903</x:v>
      </x:c>
      <x:c r="E39" s="61" t="n">
        <x:f>MAX(0,E38-(E37-E40))</x:f>
        <x:v>18.955088846880912</x:v>
      </x:c>
      <x:c r="F39" s="61" t="n">
        <x:f>MAX(0,F38-(F37-F40))</x:f>
        <x:v>22.876088846880897</x:v>
      </x:c>
      <x:c r="G39" s="61" t="n">
        <x:f>MAX(0,G38-(G37-G40))</x:f>
        <x:v>26.07508648393197</x:v>
      </x:c>
      <x:c r="H39" s="61" t="n">
        <x:f>MAX(0,H38-(H37-H40))</x:f>
        <x:v>27.881656899810963</x:v>
      </x:c>
      <x:c r="I39" s="61" t="n">
        <x:f>MAX(0,I38-(I37-I40))</x:f>
        <x:v>29.891878071833645</x:v>
      </x:c>
      <x:c r="J39" s="61" t="n">
        <x:f>MAX(0,J38-(J37-J40))</x:f>
        <x:v>32.11626275992438</x:v>
      </x:c>
      <x:c r="K39" s="61" t="n">
        <x:f>MAX(0,K38-(K37-K40))</x:f>
        <x:v>34.563622400756145</x:v>
      </x:c>
      <x:c r="L39" s="61" t="n">
        <x:f>MAX(0,L38-(L37-L40))</x:f>
        <x:v>36.30084971644615</x:v>
      </x:c>
      <x:c r="M39" s="61" t="n">
        <x:f>MAX(0,M38-(M37-M40))</x:f>
        <x:v>39.002916351606785</x:v>
      </x:c>
      <x:c r="N39" s="61" t="n">
        <x:f>MAX(0,N38-(N37-N40))</x:f>
        <x:v>46.35248771266538</x:v>
      </x:c>
      <x:c r="O39" s="61" t="n">
        <x:f>MAX(0,O38-(O37-O40))</x:f>
        <x:v>53.94199527410211</x:v>
      </x:c>
      <x:c r="P39" s="61" t="n">
        <x:f>MAX(0,P38-(P37-P40))</x:f>
        <x:v>60.147750472589735</x:v>
      </x:c>
      <x:c r="Q39" s="61" t="n">
        <x:f>MAX(0,Q38-(Q37-Q40))</x:f>
        <x:v>66.91174291115311</x:v>
      </x:c>
      <x:c r="R39" s="61" t="n">
        <x:f>MAX(0,R38-(R37-R40))</x:f>
        <x:v>77.08817391304348</x:v>
      </x:c>
      <x:c r="S39" s="61" t="n">
        <x:f>MAX(0,S38-(S37-S40))</x:f>
        <x:v>85.3934328922495</x:v>
      </x:c>
      <x:c r="T39" s="61" t="n">
        <x:f>MAX(0,T38-(T37-T40))</x:f>
        <x:v>76.44200000000012</x:v>
      </x:c>
      <x:c r="U39" s="61" t="n">
        <x:f>MAX(0,U38-(U37-U40))</x:f>
        <x:v>85.98769659735353</x:v>
      </x:c>
      <x:c r="V39" s="61" t="n">
        <x:f>MAX(0,V38-(V37-V40))</x:f>
        <x:v>96.73109640831751</x:v>
      </x:c>
      <x:c r="W39" s="61" t="n">
        <x:f>MAX(0,W38-(W37-W40))</x:f>
        <x:v>103.07095652173905</x:v>
      </x:c>
      <x:c r="X39" s="61" t="n">
        <x:f>MAX(0,X38-(X37-X40))</x:f>
        <x:v>111.23283175803408</x:v>
      </x:c>
      <x:c r="Y39" s="62" t="n">
        <x:f>MAX(0,Y38-(Y37-Y40))</x:f>
        <x:v>117.57416304347817</x:v>
      </x:c>
    </x:row>
    <x:row r="40" ht="15" hidden="0" customHeight="1">
      <x:c r="A40" s="56" t="str">
        <x:v>Subscriber Churn</x:v>
      </x:c>
      <x:c r="B40" s="61" t="n">
        <x:f>B37*'Assumptions'!B58</x:f>
        <x:v>0</x:v>
      </x:c>
      <x:c r="C40" s="61" t="n">
        <x:f>C37*'Assumptions'!C58</x:f>
        <x:v>0.3064913043478262</x:v>
      </x:c>
      <x:c r="D40" s="61" t="n">
        <x:f>D37*'Assumptions'!D58</x:f>
        <x:v>0.9960907372400756</x:v>
      </x:c>
      <x:c r="E40" s="61" t="n">
        <x:f>E37*'Assumptions'!E58</x:f>
        <x:v>1.9429149338374294</x:v>
      </x:c>
      <x:c r="F40" s="61" t="n">
        <x:f>F37*'Assumptions'!F58</x:f>
        <x:v>2.9632627599243864</x:v>
      </x:c>
      <x:c r="G40" s="61" t="n">
        <x:f>G37*'Assumptions'!G58</x:f>
        <x:v>4.102260396975424</x:v>
      </x:c>
      <x:c r="H40" s="61" t="n">
        <x:f>H37*'Assumptions'!H58</x:f>
        <x:v>5.294700378071835</x:v>
      </x:c>
      <x:c r="I40" s="61" t="n">
        <x:f>I37*'Assumptions'!I58</x:f>
        <x:v>6.4462258979206055</x:v>
      </x:c>
      <x:c r="J40" s="61" t="n">
        <x:f>J37*'Assumptions'!J58</x:f>
        <x:v>7.567349716446125</x:v>
      </x:c>
      <x:c r="K40" s="61" t="n">
        <x:f>K37*'Assumptions'!K58</x:f>
        <x:v>8.666883270321362</x:v>
      </x:c>
      <x:c r="L40" s="61" t="n">
        <x:f>L37*'Assumptions'!L58</x:f>
        <x:v>9.751936672967863</x:v>
      </x:c>
      <x:c r="M40" s="61" t="n">
        <x:f>M37*'Assumptions'!M58</x:f>
        <x:v>10.780090264650283</x:v>
      </x:c>
      <x:c r="N40" s="61" t="n">
        <x:f>N37*'Assumptions'!N58</x:f>
        <x:v>11.79813988657845</x:v>
      </x:c>
      <x:c r="O40" s="61" t="n">
        <x:f>O37*'Assumptions'!O58</x:f>
        <x:v>13.018082230623818</x:v>
      </x:c>
      <x:c r="P40" s="61" t="n">
        <x:f>P37*'Assumptions'!P58</x:f>
        <x:v>14.408620037807184</x:v>
      </x:c>
      <x:c r="Q40" s="61" t="n">
        <x:f>Q37*'Assumptions'!Q58</x:f>
        <x:v>15.868264650283555</x:v>
      </x:c>
      <x:c r="R40" s="61" t="n">
        <x:f>R37*'Assumptions'!R58</x:f>
        <x:v>17.392521739130434</x:v>
      </x:c>
      <x:c r="S40" s="61" t="n">
        <x:f>S37*'Assumptions'!S58</x:f>
        <x:v>19.08908506616257</x:v>
      </x:c>
      <x:c r="T40" s="61" t="n">
        <x:f>T37*'Assumptions'!T58</x:f>
        <x:v>20.833739130434775</x:v>
      </x:c>
      <x:c r="U40" s="61" t="n">
        <x:f>U37*'Assumptions'!U58</x:f>
        <x:v>21.95247920604915</x:v>
      </x:c>
      <x:c r="V40" s="61" t="n">
        <x:f>V37*'Assumptions'!V58</x:f>
        <x:v>23.174574669187148</x:v>
      </x:c>
      <x:c r="W40" s="61" t="n">
        <x:f>W37*'Assumptions'!W58</x:f>
        <x:v>24.49269565217391</x:v>
      </x:c>
      <x:c r="X40" s="61" t="n">
        <x:f>X37*'Assumptions'!X58</x:f>
        <x:v>25.71435349716446</x:v>
      </x:c>
      <x:c r="Y40" s="62" t="n">
        <x:f>Y37*'Assumptions'!Y58</x:f>
        <x:v>26.870902173913045</x:v>
      </x:c>
    </x:row>
    <x:row r="41" ht="15" hidden="0" customHeight="1">
      <x:c r="A41" s="56" t="str">
        <x:v>Closing Paying Subscribers</x:v>
      </x:c>
      <x:c r="B41" s="61" t="n">
        <x:f>B37+B39-B40</x:f>
        <x:v>4.49</x:v>
      </x:c>
      <x:c r="C41" s="61" t="n">
        <x:f>C37+C39-C40</x:f>
        <x:v>14.97391304347826</x:v>
      </x:c>
      <x:c r="D41" s="61" t="n">
        <x:f>D37+D39-D40</x:f>
        <x:v>29.991304347826087</x:v>
      </x:c>
      <x:c r="E41" s="61" t="n">
        <x:f>E37+E39-E40</x:f>
        <x:v>47.00347826086957</x:v>
      </x:c>
      <x:c r="F41" s="61" t="n">
        <x:f>F37+F39-F40</x:f>
        <x:v>66.91630434782607</x:v>
      </x:c>
      <x:c r="G41" s="61" t="n">
        <x:f>G37+G39-G40</x:f>
        <x:v>88.88913043478261</x:v>
      </x:c>
      <x:c r="H41" s="61" t="n">
        <x:f>H37+H39-H40</x:f>
        <x:v>111.47608695652174</x:v>
      </x:c>
      <x:c r="I41" s="61" t="n">
        <x:f>I37+I39-I40</x:f>
        <x:v>134.9217391304348</x:v>
      </x:c>
      <x:c r="J41" s="61" t="n">
        <x:f>J37+J39-J40</x:f>
        <x:v>159.47065217391304</x:v>
      </x:c>
      <x:c r="K41" s="61" t="n">
        <x:f>K37+K39-K40</x:f>
        <x:v>185.36739130434782</x:v>
      </x:c>
      <x:c r="L41" s="61" t="n">
        <x:f>L37+L39-L40</x:f>
        <x:v>211.9163043478261</x:v>
      </x:c>
      <x:c r="M41" s="61" t="n">
        <x:f>M37+M39-M40</x:f>
        <x:v>240.1391304347826</x:v>
      </x:c>
      <x:c r="N41" s="61" t="n">
        <x:f>N37+N39-N40</x:f>
        <x:v>274.69347826086954</x:v>
      </x:c>
      <x:c r="O41" s="61" t="n">
        <x:f>O37+O39-O40</x:f>
        <x:v>315.61739130434785</x:v>
      </x:c>
      <x:c r="P41" s="61" t="n">
        <x:f>P37+P39-P40</x:f>
        <x:v>361.3565217391304</x:v>
      </x:c>
      <x:c r="Q41" s="61" t="n">
        <x:f>Q37+Q39-Q40</x:f>
        <x:v>412.4</x:v>
      </x:c>
      <x:c r="R41" s="61" t="n">
        <x:f>R37+R39-R40</x:f>
        <x:v>472.09565217391304</x:v>
      </x:c>
      <x:c r="S41" s="61" t="n">
        <x:f>S37+S39-S40</x:f>
        <x:v>538.3999999999999</x:v>
      </x:c>
      <x:c r="T41" s="61" t="n">
        <x:f>T37+T39-T40</x:f>
        <x:v>594.0082608695652</x:v>
      </x:c>
      <x:c r="U41" s="61" t="n">
        <x:f>U37+U39-U40</x:f>
        <x:v>658.0434782608696</x:v>
      </x:c>
      <x:c r="V41" s="61" t="n">
        <x:f>V37+V39-V40</x:f>
        <x:v>731.6</x:v>
      </x:c>
      <x:c r="W41" s="61" t="n">
        <x:f>W37+W39-W40</x:f>
        <x:v>810.1782608695652</x:v>
      </x:c>
      <x:c r="X41" s="61" t="n">
        <x:f>X37+X39-X40</x:f>
        <x:v>895.6967391304348</x:v>
      </x:c>
      <x:c r="Y41" s="62" t="n">
        <x:f>Y37+Y39-Y40</x:f>
        <x:v>986.4</x:v>
      </x:c>
    </x:row>
    <x:row r="42" ht="15" hidden="0" customHeight="1">
      <x:c r="A42" s="56" t="str">
        <x:v>Avg Paying Subscribers</x:v>
      </x:c>
      <x:c r="B42" s="61" t="n">
        <x:f>AVERAGE(B37,B41)</x:f>
        <x:v>2.245</x:v>
      </x:c>
      <x:c r="C42" s="61" t="n">
        <x:f>AVERAGE(C37,C41)</x:f>
        <x:v>9.73195652173913</x:v>
      </x:c>
      <x:c r="D42" s="61" t="n">
        <x:f>AVERAGE(D37,D41)</x:f>
        <x:v>22.482608695652175</x:v>
      </x:c>
      <x:c r="E42" s="61" t="n">
        <x:f>AVERAGE(E37,E41)</x:f>
        <x:v>38.49739130434783</x:v>
      </x:c>
      <x:c r="F42" s="61" t="n">
        <x:f>AVERAGE(F37,F41)</x:f>
        <x:v>56.95989130434782</x:v>
      </x:c>
      <x:c r="G42" s="61" t="n">
        <x:f>AVERAGE(G37,G41)</x:f>
        <x:v>77.90271739130435</x:v>
      </x:c>
      <x:c r="H42" s="61" t="n">
        <x:f>AVERAGE(H37,H41)</x:f>
        <x:v>100.18260869565218</x:v>
      </x:c>
      <x:c r="I42" s="61" t="n">
        <x:f>AVERAGE(I37,I41)</x:f>
        <x:v>123.19891304347826</x:v>
      </x:c>
      <x:c r="J42" s="61" t="n">
        <x:f>AVERAGE(J37,J41)</x:f>
        <x:v>147.1961956521739</x:v>
      </x:c>
      <x:c r="K42" s="61" t="n">
        <x:f>AVERAGE(K37,K41)</x:f>
        <x:v>172.41902173913041</x:v>
      </x:c>
      <x:c r="L42" s="61" t="n">
        <x:f>AVERAGE(L37,L41)</x:f>
        <x:v>198.64184782608697</x:v>
      </x:c>
      <x:c r="M42" s="61" t="n">
        <x:f>AVERAGE(M37,M41)</x:f>
        <x:v>226.02771739130435</x:v>
      </x:c>
      <x:c r="N42" s="61" t="n">
        <x:f>AVERAGE(N37,N41)</x:f>
        <x:v>257.4163043478261</x:v>
      </x:c>
      <x:c r="O42" s="61" t="n">
        <x:f>AVERAGE(O37,O41)</x:f>
        <x:v>295.1554347826087</x:v>
      </x:c>
      <x:c r="P42" s="61" t="n">
        <x:f>AVERAGE(P37,P41)</x:f>
        <x:v>338.4869565217391</x:v>
      </x:c>
      <x:c r="Q42" s="61" t="n">
        <x:f>AVERAGE(Q37,Q41)</x:f>
        <x:v>386.8782608695652</x:v>
      </x:c>
      <x:c r="R42" s="61" t="n">
        <x:f>AVERAGE(R37,R41)</x:f>
        <x:v>442.2478260869565</x:v>
      </x:c>
      <x:c r="S42" s="61" t="n">
        <x:f>AVERAGE(S37,S41)</x:f>
        <x:v>505.2478260869565</x:v>
      </x:c>
      <x:c r="T42" s="61" t="n">
        <x:f>AVERAGE(T37,T41)</x:f>
        <x:v>566.2041304347825</x:v>
      </x:c>
      <x:c r="U42" s="61" t="n">
        <x:f>AVERAGE(U37,U41)</x:f>
        <x:v>626.0258695652174</x:v>
      </x:c>
      <x:c r="V42" s="61" t="n">
        <x:f>AVERAGE(V37,V41)</x:f>
        <x:v>694.8217391304348</x:v>
      </x:c>
      <x:c r="W42" s="61" t="n">
        <x:f>AVERAGE(W37,W41)</x:f>
        <x:v>770.8891304347826</x:v>
      </x:c>
      <x:c r="X42" s="61" t="n">
        <x:f>AVERAGE(X37,X41)</x:f>
        <x:v>852.9375</x:v>
      </x:c>
      <x:c r="Y42" s="62" t="n">
        <x:f>AVERAGE(Y37,Y41)</x:f>
        <x:v>941.0483695652174</x:v>
      </x:c>
    </x:row>
    <x:row r="43" ht="15" hidden="0" customHeight="1">
      <x:c r="A43" s="53" t="str">
        <x:v>Revenue</x:v>
      </x:c>
      <x:c r="B43" s="54" t="str">
        <x:v>Revenue</x:v>
      </x:c>
      <x:c r="C43" s="54" t="str">
        <x:v>Revenue</x:v>
      </x:c>
      <x:c r="D43" s="54" t="str">
        <x:v>Revenue</x:v>
      </x:c>
      <x:c r="E43" s="54" t="str">
        <x:v>Revenue</x:v>
      </x:c>
      <x:c r="F43" s="54" t="str">
        <x:v>Revenue</x:v>
      </x:c>
      <x:c r="G43" s="54" t="str">
        <x:v>Revenue</x:v>
      </x:c>
      <x:c r="H43" s="54" t="str">
        <x:v>Revenue</x:v>
      </x:c>
      <x:c r="I43" s="54" t="str">
        <x:v>Revenue</x:v>
      </x:c>
      <x:c r="J43" s="54" t="str">
        <x:v>Revenue</x:v>
      </x:c>
      <x:c r="K43" s="54" t="str">
        <x:v>Revenue</x:v>
      </x:c>
      <x:c r="L43" s="54" t="str">
        <x:v>Revenue</x:v>
      </x:c>
      <x:c r="M43" s="54" t="str">
        <x:v>Revenue</x:v>
      </x:c>
      <x:c r="N43" s="54" t="str">
        <x:v>Revenue</x:v>
      </x:c>
      <x:c r="O43" s="54" t="str">
        <x:v>Revenue</x:v>
      </x:c>
      <x:c r="P43" s="54" t="str">
        <x:v>Revenue</x:v>
      </x:c>
      <x:c r="Q43" s="54" t="str">
        <x:v>Revenue</x:v>
      </x:c>
      <x:c r="R43" s="54" t="str">
        <x:v>Revenue</x:v>
      </x:c>
      <x:c r="S43" s="54" t="str">
        <x:v>Revenue</x:v>
      </x:c>
      <x:c r="T43" s="54" t="str">
        <x:v>Revenue</x:v>
      </x:c>
      <x:c r="U43" s="54" t="str">
        <x:v>Revenue</x:v>
      </x:c>
      <x:c r="V43" s="54" t="str">
        <x:v>Revenue</x:v>
      </x:c>
      <x:c r="W43" s="54" t="str">
        <x:v>Revenue</x:v>
      </x:c>
      <x:c r="X43" s="54" t="str">
        <x:v>Revenue</x:v>
      </x:c>
      <x:c r="Y43" s="55" t="str">
        <x:v>Revenue</x:v>
      </x:c>
    </x:row>
    <x:row r="44" ht="15" hidden="0" customHeight="1">
      <x:c r="A44" s="56" t="str">
        <x:v>Subscription Revenue</x:v>
      </x:c>
      <x:c r="B44" s="65" t="n">
        <x:f>B42*'Assumptions'!$C$24/100000</x:f>
        <x:v>0.01120255</x:v>
      </x:c>
      <x:c r="C44" s="65" t="n">
        <x:f>C42*'Assumptions'!$C$24/100000</x:f>
        <x:v>0.04856246304347826</x:v>
      </x:c>
      <x:c r="D44" s="65" t="n">
        <x:f>D42*'Assumptions'!$C$24/100000</x:f>
        <x:v>0.11218821739130436</x:v>
      </x:c>
      <x:c r="E44" s="65" t="n">
        <x:f>E42*'Assumptions'!$C$24/100000</x:f>
        <x:v>0.19210198260869565</x:v>
      </x:c>
      <x:c r="F44" s="65" t="n">
        <x:f>F42*'Assumptions'!$C$24/100000</x:f>
        <x:v>0.2842298576086956</x:v>
      </x:c>
      <x:c r="G44" s="65" t="n">
        <x:f>G42*'Assumptions'!$C$24/100000</x:f>
        <x:v>0.3887345597826087</x:v>
      </x:c>
      <x:c r="H44" s="65" t="n">
        <x:f>H42*'Assumptions'!$C$24/100000</x:f>
        <x:v>0.4999112173913044</x:v>
      </x:c>
      <x:c r="I44" s="65" t="n">
        <x:f>I42*'Assumptions'!$C$24/100000</x:f>
        <x:v>0.6147625760869565</x:v>
      </x:c>
      <x:c r="J44" s="65" t="n">
        <x:f>J42*'Assumptions'!$C$24/100000</x:f>
        <x:v>0.7345090163043477</x:v>
      </x:c>
      <x:c r="K44" s="65" t="n">
        <x:f>K42*'Assumptions'!$C$24/100000</x:f>
        <x:v>0.8603709184782607</x:v>
      </x:c>
      <x:c r="L44" s="65" t="n">
        <x:f>L42*'Assumptions'!$C$24/100000</x:f>
        <x:v>0.9912228206521739</x:v>
      </x:c>
      <x:c r="M44" s="65" t="n">
        <x:f>M42*'Assumptions'!$C$24/100000</x:f>
        <x:v>1.1278783097826086</x:v>
      </x:c>
      <x:c r="N44" s="65" t="n">
        <x:f>N42*'Assumptions'!$C$24/100000</x:f>
        <x:v>1.2845073586956521</x:v>
      </x:c>
      <x:c r="O44" s="65" t="n">
        <x:f>O42*'Assumptions'!$C$24/100000</x:f>
        <x:v>1.4728256195652176</x:v>
      </x:c>
      <x:c r="P44" s="65" t="n">
        <x:f>P42*'Assumptions'!$C$24/100000</x:f>
        <x:v>1.6890499130434782</x:v>
      </x:c>
      <x:c r="Q44" s="65" t="n">
        <x:f>Q42*'Assumptions'!$C$24/100000</x:f>
        <x:v>1.9305225217391306</x:v>
      </x:c>
      <x:c r="R44" s="65" t="n">
        <x:f>R42*'Assumptions'!$C$24/100000</x:f>
        <x:v>2.2068166521739125</x:v>
      </x:c>
      <x:c r="S44" s="65" t="n">
        <x:f>S42*'Assumptions'!$C$24/100000</x:f>
        <x:v>2.521186652173913</x:v>
      </x:c>
      <x:c r="T44" s="65" t="n">
        <x:f>T42*'Assumptions'!$C$24/100000</x:f>
        <x:v>2.825358610869565</x:v>
      </x:c>
      <x:c r="U44" s="65" t="n">
        <x:f>U42*'Assumptions'!$C$24/100000</x:f>
        <x:v>3.1238690891304346</x:v>
      </x:c>
      <x:c r="V44" s="65" t="n">
        <x:f>V42*'Assumptions'!$C$24/100000</x:f>
        <x:v>3.46716047826087</x:v>
      </x:c>
      <x:c r="W44" s="65" t="n">
        <x:f>W42*'Assumptions'!$C$24/100000</x:f>
        <x:v>3.846736760869565</x:v>
      </x:c>
      <x:c r="X44" s="65" t="n">
        <x:f>X42*'Assumptions'!$C$24/100000</x:f>
        <x:v>4.256158125</x:v>
      </x:c>
      <x:c r="Y44" s="66" t="n">
        <x:f>Y42*'Assumptions'!$C$24/100000</x:f>
        <x:v>4.695831364130435</x:v>
      </x:c>
    </x:row>
    <x:row r="45" ht="15" hidden="0" customHeight="1">
      <x:c r="A45" s="56" t="str">
        <x:v>Partner/Product Revenue</x:v>
      </x:c>
      <x:c r="B45" s="65" t="n">
        <x:f>B36*'Assumptions'!B60*'Assumptions'!B61*'Assumptions'!$C$27*'Assumptions'!$C$26/100000</x:f>
        <x:v>0.00037500000000000006</x:v>
      </x:c>
      <x:c r="C45" s="65" t="n">
        <x:f>C36*'Assumptions'!C60*'Assumptions'!C61*'Assumptions'!$C$27*'Assumptions'!$C$26/100000</x:f>
        <x:v>0.0011424015780389578</x:v>
      </x:c>
      <x:c r="D45" s="65" t="n">
        <x:f>D36*'Assumptions'!D60*'Assumptions'!D61*'Assumptions'!$C$27*'Assumptions'!$C$26/100000</x:f>
        <x:v>0.00236859949042492</x:v>
      </x:c>
      <x:c r="E45" s="65" t="n">
        <x:f>E36*'Assumptions'!E60*'Assumptions'!E61*'Assumptions'!$C$27*'Assumptions'!$C$26/100000</x:f>
        <x:v>0.003911859949042493</x:v>
      </x:c>
      <x:c r="F45" s="65" t="n">
        <x:f>F36*'Assumptions'!F60*'Assumptions'!F61*'Assumptions'!$C$27*'Assumptions'!$C$26/100000</x:f>
        <x:v>0.006029064272211721</x:v>
      </x:c>
      <x:c r="G45" s="65" t="n">
        <x:f>G36*'Assumptions'!G60*'Assumptions'!G61*'Assumptions'!$C$27*'Assumptions'!$C$26/100000</x:f>
        <x:v>0.008850178762225694</x:v>
      </x:c>
      <x:c r="H45" s="65" t="n">
        <x:f>H36*'Assumptions'!H60*'Assumptions'!H61*'Assumptions'!$C$27*'Assumptions'!$C$26/100000</x:f>
        <x:v>0.012522025766417363</x:v>
      </x:c>
      <x:c r="I45" s="65" t="n">
        <x:f>I36*'Assumptions'!I60*'Assumptions'!I61*'Assumptions'!$C$27*'Assumptions'!$C$26/100000</x:f>
        <x:v>0.01720925454097148</x:v>
      </x:c>
      <x:c r="J45" s="65" t="n">
        <x:f>J36*'Assumptions'!J60*'Assumptions'!J61*'Assumptions'!$C$27*'Assumptions'!$C$26/100000</x:f>
        <x:v>0.023095312114736585</x:v>
      </x:c>
      <x:c r="K45" s="65" t="n">
        <x:f>K36*'Assumptions'!K60*'Assumptions'!K61*'Assumptions'!$C$27*'Assumptions'!$C$26/100000</x:f>
        <x:v>0.03038341415303691</x:v>
      </x:c>
      <x:c r="L45" s="65" t="n">
        <x:f>L36*'Assumptions'!L60*'Assumptions'!L61*'Assumptions'!$C$27*'Assumptions'!$C$26/100000</x:f>
        <x:v>0.03907919628914276</x:v>
      </x:c>
      <x:c r="M45" s="65" t="n">
        <x:f>M36*'Assumptions'!M60*'Assumptions'!M61*'Assumptions'!$C$27*'Assumptions'!$C$26/100000</x:f>
        <x:v>0.049587408564148935</x:v>
      </x:c>
      <x:c r="N45" s="65" t="n">
        <x:f>N36*'Assumptions'!N60*'Assumptions'!N61*'Assumptions'!$C$27*'Assumptions'!$C$26/100000</x:f>
        <x:v>0.06328910166844745</x:v>
      </x:c>
      <x:c r="O45" s="65" t="n">
        <x:f>O36*'Assumptions'!O60*'Assumptions'!O61*'Assumptions'!$C$27*'Assumptions'!$C$26/100000</x:f>
        <x:v>0.08056993507027206</x:v>
      </x:c>
      <x:c r="P45" s="65" t="n">
        <x:f>P36*'Assumptions'!P60*'Assumptions'!P61*'Assumptions'!$C$27*'Assumptions'!$C$26/100000</x:f>
        <x:v>0.1014025643133065</x:v>
      </x:c>
      <x:c r="Q45" s="65" t="n">
        <x:f>Q36*'Assumptions'!Q60*'Assumptions'!Q61*'Assumptions'!$C$27*'Assumptions'!$C$26/100000</x:f>
        <x:v>0.12629971644612475</x:v>
      </x:c>
      <x:c r="R45" s="65" t="n">
        <x:f>R36*'Assumptions'!R60*'Assumptions'!R61*'Assumptions'!$C$27*'Assumptions'!$C$26/100000</x:f>
        <x:v>0.15669076189693434</x:v>
      </x:c>
      <x:c r="S45" s="65" t="n">
        <x:f>S36*'Assumptions'!S60*'Assumptions'!S61*'Assumptions'!$C$27*'Assumptions'!$C$26/100000</x:f>
        <x:v>0.19249609599736997</x:v>
      </x:c>
      <x:c r="T45" s="65" t="n">
        <x:f>T36*'Assumptions'!T60*'Assumptions'!T61*'Assumptions'!$C$27*'Assumptions'!$C$26/100000</x:f>
        <x:v>0.22802753862907874</x:v>
      </x:c>
      <x:c r="U45" s="65" t="n">
        <x:f>U36*'Assumptions'!U60*'Assumptions'!U61*'Assumptions'!$C$27*'Assumptions'!$C$26/100000</x:f>
        <x:v>0.26912344867263915</x:v>
      </x:c>
      <x:c r="V45" s="65" t="n">
        <x:f>V36*'Assumptions'!V60*'Assumptions'!V61*'Assumptions'!$C$27*'Assumptions'!$C$26/100000</x:f>
        <x:v>0.3164491822141859</x:v>
      </x:c>
      <x:c r="W45" s="65" t="n">
        <x:f>W36*'Assumptions'!W60*'Assumptions'!W61*'Assumptions'!$C$27*'Assumptions'!$C$26/100000</x:f>
        <x:v>0.369328367715953</x:v>
      </x:c>
      <x:c r="X45" s="65" t="n">
        <x:f>X36*'Assumptions'!X60*'Assumptions'!X61*'Assumptions'!$C$27*'Assumptions'!$C$26/100000</x:f>
        <x:v>0.42891757674447284</x:v>
      </x:c>
      <x:c r="Y45" s="66" t="n">
        <x:f>Y36*'Assumptions'!Y60*'Assumptions'!Y61*'Assumptions'!$C$27*'Assumptions'!$C$26/100000</x:f>
        <x:v>0.495</x:v>
      </x:c>
    </x:row>
    <x:row r="46" ht="15" hidden="0" customHeight="1">
      <x:c r="A46" s="56" t="str">
        <x:v>Premium Advisory Revenue</x:v>
      </x:c>
      <x:c r="B46" s="65" t="n">
        <x:f>B42*'Assumptions'!B59*('Assumptions'!$C$28/12)*'Assumptions'!$C$25/100000</x:f>
        <x:v>0.00011225000000000002</x:v>
      </x:c>
      <x:c r="C46" s="65" t="n">
        <x:f>C42*'Assumptions'!C59*('Assumptions'!$C$28/12)*'Assumptions'!$C$25/100000</x:f>
        <x:v>0.0005148063957151859</x:v>
      </x:c>
      <x:c r="D46" s="65" t="n">
        <x:f>D42*'Assumptions'!D59*('Assumptions'!$C$28/12)*'Assumptions'!$C$25/100000</x:f>
        <x:v>0.0012544643982356646</x:v>
      </x:c>
      <x:c r="E46" s="65" t="n">
        <x:f>E42*'Assumptions'!E59*('Assumptions'!$C$28/12)*'Assumptions'!$C$25/100000</x:f>
        <x:v>0.0022596294896030248</x:v>
      </x:c>
      <x:c r="F46" s="65" t="n">
        <x:f>F42*'Assumptions'!F59*('Assumptions'!$C$28/12)*'Assumptions'!$C$25/100000</x:f>
        <x:v>0.0035083991020793946</x:v>
      </x:c>
      <x:c r="G46" s="65" t="n">
        <x:f>G42*'Assumptions'!G59*('Assumptions'!$C$28/12)*'Assumptions'!$C$25/100000</x:f>
        <x:v>0.005024160759294266</x:v>
      </x:c>
      <x:c r="H46" s="65" t="n">
        <x:f>H42*'Assumptions'!H59*('Assumptions'!$C$28/12)*'Assumptions'!$C$25/100000</x:f>
        <x:v>0.006751436672967863</x:v>
      </x:c>
      <x:c r="I46" s="65" t="n">
        <x:f>I42*'Assumptions'!I59*('Assumptions'!$C$28/12)*'Assumptions'!$C$25/100000</x:f>
        <x:v>0.008659633742911153</x:v>
      </x:c>
      <x:c r="J46" s="65" t="n">
        <x:f>J42*'Assumptions'!J59*('Assumptions'!$C$28/12)*'Assumptions'!$C$25/100000</x:f>
        <x:v>0.010773054899180845</x:v>
      </x:c>
      <x:c r="K46" s="65" t="n">
        <x:f>K42*'Assumptions'!K59*('Assumptions'!$C$28/12)*'Assumptions'!$C$25/100000</x:f>
        <x:v>0.013118838610586008</x:v>
      </x:c>
      <x:c r="L46" s="65" t="n">
        <x:f>L42*'Assumptions'!L59*('Assumptions'!$C$28/12)*'Assumptions'!$C$25/100000</x:f>
        <x:v>0.015689827110901073</x:v>
      </x:c>
      <x:c r="M46" s="65" t="n">
        <x:f>M42*'Assumptions'!M59*('Assumptions'!$C$28/12)*'Assumptions'!$C$25/100000</x:f>
        <x:v>0.018508066713925644</x:v>
      </x:c>
      <x:c r="N46" s="65" t="n">
        <x:f>N42*'Assumptions'!N59*('Assumptions'!$C$28/12)*'Assumptions'!$C$25/100000</x:f>
        <x:v>0.021824425803402644</x:v>
      </x:c>
      <x:c r="O46" s="65" t="n">
        <x:f>O42*'Assumptions'!O59*('Assumptions'!$C$28/12)*'Assumptions'!$C$25/100000</x:f>
        <x:v>0.02587957073093888</x:v>
      </x:c>
      <x:c r="P46" s="65" t="n">
        <x:f>P42*'Assumptions'!P59*('Assumptions'!$C$28/12)*'Assumptions'!$C$25/100000</x:f>
        <x:v>0.03066005040957782</x:v>
      </x:c>
      <x:c r="Q46" s="65" t="n">
        <x:f>Q42*'Assumptions'!Q59*('Assumptions'!$C$28/12)*'Assumptions'!$C$25/100000</x:f>
        <x:v>0.03616470699432892</x:v>
      </x:c>
      <x:c r="R46" s="65" t="n">
        <x:f>R42*'Assumptions'!R59*('Assumptions'!$C$28/12)*'Assumptions'!$C$25/100000</x:f>
        <x:v>0.04262243541272842</x:v>
      </x:c>
      <x:c r="S46" s="65" t="n">
        <x:f>S42*'Assumptions'!S59*('Assumptions'!$C$28/12)*'Assumptions'!$C$25/100000</x:f>
        <x:v>0.050158660995589154</x:v>
      </x:c>
      <x:c r="T46" s="65" t="n">
        <x:f>T42*'Assumptions'!T59*('Assumptions'!$C$28/12)*'Assumptions'!$C$25/100000</x:f>
        <x:v>0.0578512915879017</x:v>
      </x:c>
      <x:c r="U46" s="65" t="n">
        <x:f>U42*'Assumptions'!U59*('Assumptions'!$C$28/12)*'Assumptions'!$C$25/100000</x:f>
        <x:v>0.06577808049779457</x:v>
      </x:c>
      <x:c r="V46" s="65" t="n">
        <x:f>V42*'Assumptions'!V59*('Assumptions'!$C$28/12)*'Assumptions'!$C$25/100000</x:f>
        <x:v>0.07502060806553246</x:v>
      </x:c>
      <x:c r="W46" s="65" t="n">
        <x:f>W42*'Assumptions'!W59*('Assumptions'!$C$28/12)*'Assumptions'!$C$25/100000</x:f>
        <x:v>0.08546814272211721</x:v>
      </x:c>
      <x:c r="X46" s="65" t="n">
        <x:f>X42*'Assumptions'!X59*('Assumptions'!$C$28/12)*'Assumptions'!$C$25/100000</x:f>
        <x:v>0.09703709239130436</x:v>
      </x:c>
      <x:c r="Y46" s="66" t="n">
        <x:f>Y42*'Assumptions'!Y59*('Assumptions'!$C$28/12)*'Assumptions'!$C$25/100000</x:f>
        <x:v>0.10978897644927538</x:v>
      </x:c>
    </x:row>
    <x:row r="47" ht="15" hidden="0" customHeight="1">
      <x:c r="A47" s="56" t="str">
        <x:v>Total Revenue</x:v>
      </x:c>
      <x:c r="B47" s="65" t="n">
        <x:f>SUM(B44:B46)</x:f>
        <x:v>0.0116898</x:v>
      </x:c>
      <x:c r="C47" s="65" t="n">
        <x:f>SUM(C44:C46)</x:f>
        <x:v>0.0502196710172324</x:v>
      </x:c>
      <x:c r="D47" s="65" t="n">
        <x:f>SUM(D44:D46)</x:f>
        <x:v>0.11581128127996494</x:v>
      </x:c>
      <x:c r="E47" s="65" t="n">
        <x:f>SUM(E44:E46)</x:f>
        <x:v>0.1982734720473412</x:v>
      </x:c>
      <x:c r="F47" s="65" t="n">
        <x:f>SUM(F44:F46)</x:f>
        <x:v>0.29376732098298675</x:v>
      </x:c>
      <x:c r="G47" s="65" t="n">
        <x:f>SUM(G44:G46)</x:f>
        <x:v>0.4026088993041287</x:v>
      </x:c>
      <x:c r="H47" s="65" t="n">
        <x:f>SUM(H44:H46)</x:f>
        <x:v>0.5191846798306896</x:v>
      </x:c>
      <x:c r="I47" s="65" t="n">
        <x:f>SUM(I44:I46)</x:f>
        <x:v>0.6406314643708391</x:v>
      </x:c>
      <x:c r="J47" s="65" t="n">
        <x:f>SUM(J44:J46)</x:f>
        <x:v>0.7683773833182652</x:v>
      </x:c>
      <x:c r="K47" s="65" t="n">
        <x:f>SUM(K44:K46)</x:f>
        <x:v>0.9038731712418837</x:v>
      </x:c>
      <x:c r="L47" s="65" t="n">
        <x:f>SUM(L44:L46)</x:f>
        <x:v>1.0459918440522178</x:v>
      </x:c>
      <x:c r="M47" s="65" t="n">
        <x:f>SUM(M44:M46)</x:f>
        <x:v>1.1959737850606833</x:v>
      </x:c>
      <x:c r="N47" s="65" t="n">
        <x:f>SUM(N44:N46)</x:f>
        <x:v>1.369620886167502</x:v>
      </x:c>
      <x:c r="O47" s="65" t="n">
        <x:f>SUM(O44:O46)</x:f>
        <x:v>1.5792751253664286</x:v>
      </x:c>
      <x:c r="P47" s="65" t="n">
        <x:f>SUM(P44:P46)</x:f>
        <x:v>1.8211125277663625</x:v>
      </x:c>
      <x:c r="Q47" s="65" t="n">
        <x:f>SUM(Q44:Q46)</x:f>
        <x:v>2.092986945179584</x:v>
      </x:c>
      <x:c r="R47" s="65" t="n">
        <x:f>SUM(R44:R46)</x:f>
        <x:v>2.406129849483575</x:v>
      </x:c>
      <x:c r="S47" s="65" t="n">
        <x:f>SUM(S44:S46)</x:f>
        <x:v>2.7638414091668717</x:v>
      </x:c>
      <x:c r="T47" s="65" t="n">
        <x:f>SUM(T44:T46)</x:f>
        <x:v>3.1112374410865455</x:v>
      </x:c>
      <x:c r="U47" s="65" t="n">
        <x:f>SUM(U44:U46)</x:f>
        <x:v>3.458770618300868</x:v>
      </x:c>
      <x:c r="V47" s="65" t="n">
        <x:f>SUM(V44:V46)</x:f>
        <x:v>3.858630268540588</x:v>
      </x:c>
      <x:c r="W47" s="65" t="n">
        <x:f>SUM(W44:W46)</x:f>
        <x:v>4.301533271307635</x:v>
      </x:c>
      <x:c r="X47" s="65" t="n">
        <x:f>SUM(X44:X46)</x:f>
        <x:v>4.782112794135777</x:v>
      </x:c>
      <x:c r="Y47" s="66" t="n">
        <x:f>SUM(Y44:Y46)</x:f>
        <x:v>5.3006203405797105</x:v>
      </x:c>
    </x:row>
    <x:row r="48" ht="15" hidden="0" customHeight="1">
      <x:c r="A48" s="56" t="str">
        <x:v>MRR</x:v>
      </x:c>
      <x:c r="B48" s="65" t="n">
        <x:f>B44+B46</x:f>
        <x:v>0.0113148</x:v>
      </x:c>
      <x:c r="C48" s="65" t="n">
        <x:f>C44+C46</x:f>
        <x:v>0.04907726943919345</x:v>
      </x:c>
      <x:c r="D48" s="65" t="n">
        <x:f>D44+D46</x:f>
        <x:v>0.11344268178954002</x:v>
      </x:c>
      <x:c r="E48" s="65" t="n">
        <x:f>E44+E46</x:f>
        <x:v>0.1943616120982987</x:v>
      </x:c>
      <x:c r="F48" s="65" t="n">
        <x:f>F44+F46</x:f>
        <x:v>0.287738256710775</x:v>
      </x:c>
      <x:c r="G48" s="65" t="n">
        <x:f>G44+G46</x:f>
        <x:v>0.393758720541903</x:v>
      </x:c>
      <x:c r="H48" s="65" t="n">
        <x:f>H44+H46</x:f>
        <x:v>0.5066626540642722</x:v>
      </x:c>
      <x:c r="I48" s="65" t="n">
        <x:f>I44+I46</x:f>
        <x:v>0.6234222098298676</x:v>
      </x:c>
      <x:c r="J48" s="65" t="n">
        <x:f>J44+J46</x:f>
        <x:v>0.7452820712035286</x:v>
      </x:c>
      <x:c r="K48" s="65" t="n">
        <x:f>K44+K46</x:f>
        <x:v>0.8734897570888468</x:v>
      </x:c>
      <x:c r="L48" s="65" t="n">
        <x:f>L44+L46</x:f>
        <x:v>1.006912647763075</x:v>
      </x:c>
      <x:c r="M48" s="65" t="n">
        <x:f>M44+M46</x:f>
        <x:v>1.1463863764965343</x:v>
      </x:c>
      <x:c r="N48" s="65" t="n">
        <x:f>N44+N46</x:f>
        <x:v>1.3063317844990547</x:v>
      </x:c>
      <x:c r="O48" s="65" t="n">
        <x:f>O44+O46</x:f>
        <x:v>1.4987051902961566</x:v>
      </x:c>
      <x:c r="P48" s="65" t="n">
        <x:f>P44+P46</x:f>
        <x:v>1.719709963453056</x:v>
      </x:c>
      <x:c r="Q48" s="65" t="n">
        <x:f>Q44+Q46</x:f>
        <x:v>1.9666872287334596</x:v>
      </x:c>
      <x:c r="R48" s="65" t="n">
        <x:f>R44+R46</x:f>
        <x:v>2.249439087586641</x:v>
      </x:c>
      <x:c r="S48" s="65" t="n">
        <x:f>S44+S46</x:f>
        <x:v>2.571345313169502</x:v>
      </x:c>
      <x:c r="T48" s="65" t="n">
        <x:f>T44+T46</x:f>
        <x:v>2.883209902457467</x:v>
      </x:c>
      <x:c r="U48" s="65" t="n">
        <x:f>U44+U46</x:f>
        <x:v>3.189647169628229</x:v>
      </x:c>
      <x:c r="V48" s="65" t="n">
        <x:f>V44+V46</x:f>
        <x:v>3.5421810863264023</x:v>
      </x:c>
      <x:c r="W48" s="65" t="n">
        <x:f>W44+W46</x:f>
        <x:v>3.9322049035916824</x:v>
      </x:c>
      <x:c r="X48" s="65" t="n">
        <x:f>X44+X46</x:f>
        <x:v>4.353195217391304</x:v>
      </x:c>
      <x:c r="Y48" s="66" t="n">
        <x:f>Y44+Y46</x:f>
        <x:v>4.80562034057971</x:v>
      </x:c>
    </x:row>
    <x:row r="49" ht="15" hidden="0" customHeight="1">
      <x:c r="A49" s="56" t="str">
        <x:v>ARR Run Rate</x:v>
      </x:c>
      <x:c r="B49" s="65" t="n">
        <x:f>B48*12</x:f>
        <x:v>0.1357776</x:v>
      </x:c>
      <x:c r="C49" s="65" t="n">
        <x:f>C48*12</x:f>
        <x:v>0.5889272332703215</x:v>
      </x:c>
      <x:c r="D49" s="65" t="n">
        <x:f>D48*12</x:f>
        <x:v>1.3613121814744802</x:v>
      </x:c>
      <x:c r="E49" s="65" t="n">
        <x:f>E48*12</x:f>
        <x:v>2.332339345179584</x:v>
      </x:c>
      <x:c r="F49" s="65" t="n">
        <x:f>F48*12</x:f>
        <x:v>3.4528590805293002</x:v>
      </x:c>
      <x:c r="G49" s="65" t="n">
        <x:f>G48*12</x:f>
        <x:v>4.725104646502835</x:v>
      </x:c>
      <x:c r="H49" s="65" t="n">
        <x:f>H48*12</x:f>
        <x:v>6.079951848771267</x:v>
      </x:c>
      <x:c r="I49" s="65" t="n">
        <x:f>I48*12</x:f>
        <x:v>7.4810665179584115</x:v>
      </x:c>
      <x:c r="J49" s="65" t="n">
        <x:f>J48*12</x:f>
        <x:v>8.943384854442343</x:v>
      </x:c>
      <x:c r="K49" s="65" t="n">
        <x:f>K48*12</x:f>
        <x:v>10.481877085066161</x:v>
      </x:c>
      <x:c r="L49" s="65" t="n">
        <x:f>L48*12</x:f>
        <x:v>12.0829517731569</x:v>
      </x:c>
      <x:c r="M49" s="65" t="n">
        <x:f>M48*12</x:f>
        <x:v>13.756636517958412</x:v>
      </x:c>
      <x:c r="N49" s="65" t="n">
        <x:f>N48*12</x:f>
        <x:v>15.675981413988657</x:v>
      </x:c>
      <x:c r="O49" s="65" t="n">
        <x:f>O48*12</x:f>
        <x:v>17.984462283553878</x:v>
      </x:c>
      <x:c r="P49" s="65" t="n">
        <x:f>P48*12</x:f>
        <x:v>20.63651956143667</x:v>
      </x:c>
      <x:c r="Q49" s="65" t="n">
        <x:f>Q48*12</x:f>
        <x:v>23.600246744801517</x:v>
      </x:c>
      <x:c r="R49" s="65" t="n">
        <x:f>R48*12</x:f>
        <x:v>26.99326905103969</x:v>
      </x:c>
      <x:c r="S49" s="65" t="n">
        <x:f>S48*12</x:f>
        <x:v>30.856143758034023</x:v>
      </x:c>
      <x:c r="T49" s="65" t="n">
        <x:f>T48*12</x:f>
        <x:v>34.598518829489606</x:v>
      </x:c>
      <x:c r="U49" s="65" t="n">
        <x:f>U48*12</x:f>
        <x:v>38.27576603553875</x:v>
      </x:c>
      <x:c r="V49" s="65" t="n">
        <x:f>V48*12</x:f>
        <x:v>42.50617303591683</x:v>
      </x:c>
      <x:c r="W49" s="65" t="n">
        <x:f>W48*12</x:f>
        <x:v>47.18645884310019</x:v>
      </x:c>
      <x:c r="X49" s="65" t="n">
        <x:f>X48*12</x:f>
        <x:v>52.23834260869565</x:v>
      </x:c>
      <x:c r="Y49" s="66" t="n">
        <x:f>Y48*12</x:f>
        <x:v>57.66744408695652</x:v>
      </x:c>
    </x:row>
    <x:row r="50" ht="15" hidden="0" customHeight="1">
      <x:c r="A50" s="56" t="str">
        <x:v>Revenue per Active User (INR)</x:v>
      </x:c>
      <x:c r="B50" s="61" t="n">
        <x:f>IF(B36&gt;0,B47*100000/B36,0)</x:f>
        <x:v>23.3796</x:v>
      </x:c>
      <x:c r="C50" s="61" t="n">
        <x:f>IF(C36&gt;0,C47*100000/C36,0)</x:f>
        <x:v>38.890654323109274</x:v>
      </x:c>
      <x:c r="D50" s="61" t="n">
        <x:f>IF(D36&gt;0,D47*100000/D36,0)</x:f>
        <x:v>50.25772583847535</x:v>
      </x:c>
      <x:c r="E50" s="61" t="n">
        <x:f>IF(E36&gt;0,E47*100000/E36,0)</x:f>
        <x:v>59.78747764128282</x:v>
      </x:c>
      <x:c r="F50" s="61" t="n">
        <x:f>IF(F36&gt;0,F47*100000/F36,0)</x:f>
        <x:v>65.28162688510817</x:v>
      </x:c>
      <x:c r="G50" s="61" t="n">
        <x:f>IF(G36&gt;0,G47*100000/G36,0)</x:f>
        <x:v>68.62439784340869</x:v>
      </x:c>
      <x:c r="H50" s="61" t="n">
        <x:f>IF(H36&gt;0,H47*100000/H36,0)</x:f>
        <x:v>69.893167316979</x:v>
      </x:c>
      <x:c r="I50" s="61" t="n">
        <x:f>IF(I36&gt;0,I47*100000/I36,0)</x:f>
        <x:v>69.6667786313442</x:v>
      </x:c>
      <x:c r="J50" s="61" t="n">
        <x:f>IF(J36&gt;0,J47*100000/J36,0)</x:f>
        <x:v>68.72517914182421</x:v>
      </x:c>
      <x:c r="K50" s="61" t="n">
        <x:f>IF(K36&gt;0,K47*100000/K36,0)</x:f>
        <x:v>67.48332867052407</x:v>
      </x:c>
      <x:c r="L50" s="61" t="n">
        <x:f>IF(L36&gt;0,L47*100000/L36,0)</x:f>
        <x:v>66.37095637823576</x:v>
      </x:c>
      <x:c r="M50" s="61" t="n">
        <x:f>IF(M36&gt;0,M47*100000/M36,0)</x:f>
        <x:v>65.10626522223836</x:v>
      </x:c>
      <x:c r="N50" s="61" t="n">
        <x:f>IF(N36&gt;0,N47*100000/N36,0)</x:f>
        <x:v>63.357361990853875</x:v>
      </x:c>
      <x:c r="O50" s="61" t="n">
        <x:f>IF(O36&gt;0,O47*100000/O36,0)</x:f>
        <x:v>62.027540784542104</x:v>
      </x:c>
      <x:c r="P50" s="61" t="n">
        <x:f>IF(P36&gt;0,P47*100000/P36,0)</x:f>
        <x:v>61.236239968751946</x:v>
      </x:c>
      <x:c r="Q50" s="61" t="n">
        <x:f>IF(Q36&gt;0,Q47*100000/Q36,0)</x:f>
        <x:v>60.710281223483214</x:v>
      </x:c>
      <x:c r="R50" s="61" t="n">
        <x:f>IF(R36&gt;0,R47*100000/R36,0)</x:f>
        <x:v>60.28429906113532</x:v>
      </x:c>
      <x:c r="S50" s="61" t="n">
        <x:f>IF(S36&gt;0,S47*100000/S36,0)</x:f>
        <x:v>60.254362474728</x:v>
      </x:c>
      <x:c r="T50" s="61" t="n">
        <x:f>IF(T36&gt;0,T47*100000/T36,0)</x:f>
        <x:v>61.06973428204868</x:v>
      </x:c>
      <x:c r="U50" s="61" t="n">
        <x:f>IF(U36&gt;0,U47*100000/U36,0)</x:f>
        <x:v>61.22306818348818</x:v>
      </x:c>
      <x:c r="V50" s="61" t="n">
        <x:f>IF(V36&gt;0,V47*100000/V36,0)</x:f>
        <x:v>61.69945507260396</x:v>
      </x:c>
      <x:c r="W50" s="61" t="n">
        <x:f>IF(W36&gt;0,W47*100000/W36,0)</x:f>
        <x:v>62.48378636777491</x:v>
      </x:c>
      <x:c r="X50" s="61" t="n">
        <x:f>IF(X36&gt;0,X47*100000/X36,0)</x:f>
        <x:v>63.30734255133341</x:v>
      </x:c>
      <x:c r="Y50" s="62" t="n">
        <x:f>IF(Y36&gt;0,Y47*100000/Y36,0)</x:f>
        <x:v>64.24994352217831</x:v>
      </x:c>
    </x:row>
    <x:row r="51" ht="15" hidden="0" customHeight="1">
      <x:c r="A51" s="57" t="str">
        <x:v>Revenue per Paying Subscriber (INR)</x:v>
      </x:c>
      <x:c r="B51" s="69" t="n">
        <x:f>IF(B42&gt;0,B47*100000/B42,0)</x:f>
        <x:v>520.7037861915368</x:v>
      </x:c>
      <x:c r="C51" s="69" t="n">
        <x:f>IF(C42&gt;0,C47*100000/C42,0)</x:f>
        <x:v>516.0285180585455</x:v>
      </x:c>
      <x:c r="D51" s="69" t="n">
        <x:f>IF(D42&gt;0,D47*100000/D42,0)</x:f>
        <x:v>515.1149621812403</x:v>
      </x:c>
      <x:c r="E51" s="69" t="n">
        <x:f>IF(E42&gt;0,E47*100000/E42,0)</x:f>
        <x:v>515.030928926731</x:v>
      </x:c>
      <x:c r="F51" s="69" t="n">
        <x:f>IF(F42&gt;0,F47*100000/F42,0)</x:f>
        <x:v>515.7441741125007</x:v>
      </x:c>
      <x:c r="G51" s="69" t="n">
        <x:f>IF(G42&gt;0,G47*100000/G42,0)</x:f>
        <x:v>516.8098274182522</x:v>
      </x:c>
      <x:c r="H51" s="69" t="n">
        <x:f>IF(H42&gt;0,H47*100000/H42,0)</x:f>
        <x:v>518.2383315730345</x:v>
      </x:c>
      <x:c r="I51" s="69" t="n">
        <x:f>IF(I42&gt;0,I47*100000/I42,0)</x:f>
        <x:v>519.9976595124286</x:v>
      </x:c>
      <x:c r="J51" s="69" t="n">
        <x:f>IF(J42&gt;0,J47*100000/J42,0)</x:f>
        <x:v>522.0089961658715</x:v>
      </x:c>
      <x:c r="K51" s="69" t="n">
        <x:f>IF(K42&gt;0,K47*100000/K42,0)</x:f>
        <x:v>524.230541459307</x:v>
      </x:c>
      <x:c r="L51" s="69" t="n">
        <x:f>IF(L42&gt;0,L47*100000/L42,0)</x:f>
        <x:v>526.5717448258912</x:v>
      </x:c>
      <x:c r="M51" s="69" t="n">
        <x:f>IF(M42&gt;0,M47*100000/M42,0)</x:f>
        <x:v>529.1270463923618</x:v>
      </x:c>
      <x:c r="N51" s="69" t="n">
        <x:f>IF(N42&gt;0,N47*100000/N42,0)</x:f>
        <x:v>532.0645441000671</x:v>
      </x:c>
      <x:c r="O51" s="69" t="n">
        <x:f>IF(O42&gt;0,O47*100000/O42,0)</x:f>
        <x:v>535.0655753737398</x:v>
      </x:c>
      <x:c r="P51" s="69" t="n">
        <x:f>IF(P42&gt;0,P47*100000/P42,0)</x:f>
        <x:v>538.0155697814615</x:v>
      </x:c>
      <x:c r="Q51" s="69" t="n">
        <x:f>IF(Q42&gt;0,Q47*100000/Q42,0)</x:f>
        <x:v>540.9936811841769</x:v>
      </x:c>
      <x:c r="R51" s="69" t="n">
        <x:f>IF(R42&gt;0,R47*100000/R42,0)</x:f>
        <x:v>544.0682141443637</x:v>
      </x:c>
      <x:c r="S51" s="69" t="n">
        <x:f>IF(S42&gt;0,S47*100000/S42,0)</x:f>
        <x:v>547.0268779921868</x:v>
      </x:c>
      <x:c r="T51" s="69" t="n">
        <x:f>IF(T42&gt;0,T47*100000/T42,0)</x:f>
        <x:v>549.4904176515734</x:v>
      </x:c>
      <x:c r="U51" s="69" t="n">
        <x:f>IF(U42&gt;0,U47*100000/U42,0)</x:f>
        <x:v>552.4964360822703</x:v>
      </x:c>
      <x:c r="V51" s="69" t="n">
        <x:f>IF(V42&gt;0,V47*100000/V42,0)</x:f>
        <x:v>555.3410394685752</x:v>
      </x:c>
      <x:c r="W51" s="69" t="n">
        <x:f>IF(W42&gt;0,W47*100000/W42,0)</x:f>
        <x:v>557.9963579044842</x:v>
      </x:c>
      <x:c r="X51" s="69" t="n">
        <x:f>IF(X42&gt;0,X47*100000/X42,0)</x:f>
        <x:v>560.6639166569388</x:v>
      </x:c>
      <x:c r="Y51" s="70" t="n">
        <x:f>IF(Y42&gt;0,Y47*100000/Y42,0)</x:f>
        <x:v>563.2675760363626</x:v>
      </x:c>
    </x:row>
  </x:sheetData>
  <x:mergeCells>
    <x:mergeCell ref="A1:H1"/>
    <x:mergeCell ref="A2:H2"/>
    <x:mergeCell ref="A5:Y5"/>
    <x:mergeCell ref="A8:Y8"/>
    <x:mergeCell ref="A17:Y17"/>
    <x:mergeCell ref="A34:Y34"/>
    <x:mergeCell ref="A43:Y4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7.1299991607666" hidden="0" customWidth="1"/>
    <x:col min="3" max="3" width="17.1299991607666" hidden="0" customWidth="1"/>
    <x:col min="4" max="4" width="17.1299991607666" hidden="0" customWidth="1"/>
    <x:col min="5" max="5" width="17.1299991607666" hidden="0" customWidth="1"/>
    <x:col min="6" max="6" width="17.1299991607666" hidden="0" customWidth="1"/>
    <x:col min="7" max="7" width="17.1299991607666" hidden="0" customWidth="1"/>
    <x:col min="8" max="8" width="17.1299991607666" hidden="0" customWidth="1"/>
    <x:col min="9" max="9" width="17.1299991607666" hidden="0" customWidth="1"/>
    <x:col min="10" max="10" width="17.1299991607666" hidden="0" customWidth="1"/>
    <x:col min="11" max="11" width="17.1299991607666" hidden="0" customWidth="1"/>
    <x:col min="12" max="12" width="17.1299991607666" hidden="0" customWidth="1"/>
    <x:col min="13" max="13" width="17.1299991607666" hidden="0" customWidth="1"/>
    <x:col min="14" max="14" width="17.1299991607666" hidden="0" customWidth="1"/>
    <x:col min="15" max="15" width="17.1299991607666" hidden="0" customWidth="1"/>
    <x:col min="16" max="16" width="17.1299991607666" hidden="0" customWidth="1"/>
    <x:col min="17" max="17" width="17.1299991607666" hidden="0" customWidth="1"/>
    <x:col min="18" max="18" width="17.1299991607666" hidden="0" customWidth="1"/>
    <x:col min="19" max="19" width="17.1299991607666" hidden="0" customWidth="1"/>
    <x:col min="20" max="20" width="17.1299991607666" hidden="0" customWidth="1"/>
    <x:col min="21" max="21" width="17.1299991607666" hidden="0" customWidth="1"/>
    <x:col min="22" max="22" width="17.1299991607666" hidden="0" customWidth="1"/>
    <x:col min="23" max="23" width="17.1299991607666" hidden="0" customWidth="1"/>
    <x:col min="24" max="24" width="17.1299991607666" hidden="0" customWidth="1"/>
    <x:col min="25" max="25" width="17.1299991607666" hidden="0" customWidth="1"/>
  </x:cols>
  <x:sheetData>
    <x:row r="1" ht="19.200000762939453" hidden="0" customHeight="1">
      <x:c r="A1" s="2" t="str">
        <x:v>Cost of Service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15" hidden="0" customHeight="1">
      <x:c r="A2" s="4" t="str">
        <x:v>Customer-serving variable and semi-direct costs only; development infrastructure sits in Technology &amp; Product Investment.</x:v>
      </x:c>
    </x:row>
    <x:row r="3"/>
    <x:row r="4" ht="15" hidden="0" customHeight="1">
      <x:c r="A4" s="10" t="str">
        <x:v>Metric</x:v>
      </x:c>
      <x:c r="B4" s="11" t="str">
        <x:v>M1</x:v>
      </x:c>
      <x:c r="C4" s="11" t="str">
        <x:v>M2</x:v>
      </x:c>
      <x:c r="D4" s="11" t="str">
        <x:v>M3</x:v>
      </x:c>
      <x:c r="E4" s="11" t="str">
        <x:v>M4</x:v>
      </x:c>
      <x:c r="F4" s="11" t="str">
        <x:v>M5</x:v>
      </x:c>
      <x:c r="G4" s="11" t="str">
        <x:v>M6</x:v>
      </x:c>
      <x:c r="H4" s="11" t="str">
        <x:v>M7</x:v>
      </x:c>
      <x:c r="I4" s="11" t="str">
        <x:v>M8</x:v>
      </x:c>
      <x:c r="J4" s="11" t="str">
        <x:v>M9</x:v>
      </x:c>
      <x:c r="K4" s="11" t="str">
        <x:v>M10</x:v>
      </x:c>
      <x:c r="L4" s="11" t="str">
        <x:v>M11</x:v>
      </x:c>
      <x:c r="M4" s="11" t="str">
        <x:v>M12</x:v>
      </x:c>
      <x:c r="N4" s="11" t="str">
        <x:v>M13</x:v>
      </x:c>
      <x:c r="O4" s="11" t="str">
        <x:v>M14</x:v>
      </x:c>
      <x:c r="P4" s="11" t="str">
        <x:v>M15</x:v>
      </x:c>
      <x:c r="Q4" s="11" t="str">
        <x:v>M16</x:v>
      </x:c>
      <x:c r="R4" s="11" t="str">
        <x:v>M17</x:v>
      </x:c>
      <x:c r="S4" s="11" t="str">
        <x:v>M18</x:v>
      </x:c>
      <x:c r="T4" s="11" t="str">
        <x:v>M19</x:v>
      </x:c>
      <x:c r="U4" s="11" t="str">
        <x:v>M20</x:v>
      </x:c>
      <x:c r="V4" s="11" t="str">
        <x:v>M21</x:v>
      </x:c>
      <x:c r="W4" s="11" t="str">
        <x:v>M22</x:v>
      </x:c>
      <x:c r="X4" s="11" t="str">
        <x:v>M23</x:v>
      </x:c>
      <x:c r="Y4" s="12" t="str">
        <x:v>M24</x:v>
      </x:c>
    </x:row>
    <x:row r="5" ht="15" hidden="0" customHeight="1">
      <x:c r="A5" s="45" t="str">
        <x:v>Service Delivery Costs</x:v>
      </x:c>
      <x:c r="B5" s="46" t="str">
        <x:v>Service Delivery Costs</x:v>
      </x:c>
      <x:c r="C5" s="46" t="str">
        <x:v>Service Delivery Costs</x:v>
      </x:c>
      <x:c r="D5" s="46" t="str">
        <x:v>Service Delivery Costs</x:v>
      </x:c>
      <x:c r="E5" s="46" t="str">
        <x:v>Service Delivery Costs</x:v>
      </x:c>
      <x:c r="F5" s="46" t="str">
        <x:v>Service Delivery Costs</x:v>
      </x:c>
      <x:c r="G5" s="46" t="str">
        <x:v>Service Delivery Costs</x:v>
      </x:c>
      <x:c r="H5" s="46" t="str">
        <x:v>Service Delivery Costs</x:v>
      </x:c>
      <x:c r="I5" s="46" t="str">
        <x:v>Service Delivery Costs</x:v>
      </x:c>
      <x:c r="J5" s="46" t="str">
        <x:v>Service Delivery Costs</x:v>
      </x:c>
      <x:c r="K5" s="46" t="str">
        <x:v>Service Delivery Costs</x:v>
      </x:c>
      <x:c r="L5" s="46" t="str">
        <x:v>Service Delivery Costs</x:v>
      </x:c>
      <x:c r="M5" s="46" t="str">
        <x:v>Service Delivery Costs</x:v>
      </x:c>
      <x:c r="N5" s="46" t="str">
        <x:v>Service Delivery Costs</x:v>
      </x:c>
      <x:c r="O5" s="46" t="str">
        <x:v>Service Delivery Costs</x:v>
      </x:c>
      <x:c r="P5" s="46" t="str">
        <x:v>Service Delivery Costs</x:v>
      </x:c>
      <x:c r="Q5" s="46" t="str">
        <x:v>Service Delivery Costs</x:v>
      </x:c>
      <x:c r="R5" s="46" t="str">
        <x:v>Service Delivery Costs</x:v>
      </x:c>
      <x:c r="S5" s="46" t="str">
        <x:v>Service Delivery Costs</x:v>
      </x:c>
      <x:c r="T5" s="46" t="str">
        <x:v>Service Delivery Costs</x:v>
      </x:c>
      <x:c r="U5" s="46" t="str">
        <x:v>Service Delivery Costs</x:v>
      </x:c>
      <x:c r="V5" s="46" t="str">
        <x:v>Service Delivery Costs</x:v>
      </x:c>
      <x:c r="W5" s="46" t="str">
        <x:v>Service Delivery Costs</x:v>
      </x:c>
      <x:c r="X5" s="46" t="str">
        <x:v>Service Delivery Costs</x:v>
      </x:c>
      <x:c r="Y5" s="47" t="str">
        <x:v>Service Delivery Costs</x:v>
      </x:c>
    </x:row>
    <x:row r="6" ht="15" hidden="0" customHeight="1">
      <x:c r="A6" t="str">
        <x:v>AI/LLM Service Cost</x:v>
      </x:c>
      <x:c r="B6" s="74" t="n">
        <x:f>'Marketing &amp; Revenue Pipeline'!B36*('Assumptions'!$C$36+(('Assumptions'!$C$37-'Assumptions'!$C$36)*(1-1)/23))/100000</x:f>
        <x:v>0.03</x:v>
      </x:c>
      <x:c r="C6" s="74" t="n">
        <x:f>'Marketing &amp; Revenue Pipeline'!C36*('Assumptions'!$C$36+(('Assumptions'!$C$37-'Assumptions'!$C$36)*(2-1)/23))/100000</x:f>
        <x:v>0.07551323251417769</x:v>
      </x:c>
      <x:c r="D6" s="74" t="n">
        <x:f>'Marketing &amp; Revenue Pipeline'!D36*('Assumptions'!$C$36+(('Assumptions'!$C$37-'Assumptions'!$C$36)*(3-1)/23))/100000</x:f>
        <x:v>0.1312476370510397</x:v>
      </x:c>
      <x:c r="E6" s="74" t="n">
        <x:f>'Marketing &amp; Revenue Pipeline'!E36*('Assumptions'!$C$36+(('Assumptions'!$C$37-'Assumptions'!$C$36)*(4-1)/23))/100000</x:f>
        <x:v>0.1838386105860114</x:v>
      </x:c>
      <x:c r="F6" s="74" t="n">
        <x:f>'Marketing &amp; Revenue Pipeline'!F36*('Assumptions'!$C$36+(('Assumptions'!$C$37-'Assumptions'!$C$36)*(5-1)/23))/100000</x:f>
        <x:v>0.2426086956521739</x:v>
      </x:c>
      <x:c r="G6" s="74" t="n">
        <x:f>'Marketing &amp; Revenue Pipeline'!G36*('Assumptions'!$C$36+(('Assumptions'!$C$37-'Assumptions'!$C$36)*(6-1)/23))/100000</x:f>
        <x:v>0.3073718100189036</x:v>
      </x:c>
      <x:c r="H6" s="74" t="n">
        <x:f>'Marketing &amp; Revenue Pipeline'!H36*('Assumptions'!$C$36+(('Assumptions'!$C$37-'Assumptions'!$C$36)*(7-1)/23))/100000</x:f>
        <x:v>0.3778724007561437</x:v>
      </x:c>
      <x:c r="I6" s="74" t="n">
        <x:f>'Marketing &amp; Revenue Pipeline'!I36*('Assumptions'!$C$36+(('Assumptions'!$C$37-'Assumptions'!$C$36)*(8-1)/23))/100000</x:f>
        <x:v>0.4537854442344046</x:v>
      </x:c>
      <x:c r="J6" s="74" t="n">
        <x:f>'Marketing &amp; Revenue Pipeline'!J36*('Assumptions'!$C$36+(('Assumptions'!$C$37-'Assumptions'!$C$36)*(9-1)/23))/100000</x:f>
        <x:v>0.5347164461247638</x:v>
      </x:c>
      <x:c r="K6" s="74" t="n">
        <x:f>'Marketing &amp; Revenue Pipeline'!K36*('Assumptions'!$C$36+(('Assumptions'!$C$37-'Assumptions'!$C$36)*(10-1)/23))/100000</x:f>
        <x:v>0.6202014413988659</x:v>
      </x:c>
      <x:c r="L6" s="74" t="n">
        <x:f>'Marketing &amp; Revenue Pipeline'!L36*('Assumptions'!$C$36+(('Assumptions'!$C$37-'Assumptions'!$C$36)*(11-1)/23))/100000</x:f>
        <x:v>0.7057641776937618</x:v>
      </x:c>
      <x:c r="M6" s="74" t="n">
        <x:f>'Marketing &amp; Revenue Pipeline'!M36*('Assumptions'!$C$36+(('Assumptions'!$C$37-'Assumptions'!$C$36)*(12-1)/23))/100000</x:f>
        <x:v>0.7946833648393196</x:v>
      </x:c>
      <x:c r="N6" s="74" t="n">
        <x:f>'Marketing &amp; Revenue Pipeline'!N36*('Assumptions'!$C$36+(('Assumptions'!$C$37-'Assumptions'!$C$36)*(13-1)/23))/100000</x:f>
        <x:v>0.9022911153119092</x:v>
      </x:c>
      <x:c r="O6" s="74" t="n">
        <x:f>'Marketing &amp; Revenue Pipeline'!O36*('Assumptions'!$C$36+(('Assumptions'!$C$37-'Assumptions'!$C$36)*(14-1)/23))/100000</x:f>
        <x:v>1.0239697542533084</x:v>
      </x:c>
      <x:c r="P6" s="74" t="n">
        <x:f>'Marketing &amp; Revenue Pipeline'!P36*('Assumptions'!$C$36+(('Assumptions'!$C$37-'Assumptions'!$C$36)*(15-1)/23))/100000</x:f>
        <x:v>1.1507750472589795</x:v>
      </x:c>
      <x:c r="Q6" s="74" t="n">
        <x:f>'Marketing &amp; Revenue Pipeline'!Q36*('Assumptions'!$C$36+(('Assumptions'!$C$37-'Assumptions'!$C$36)*(16-1)/23))/100000</x:f>
        <x:v>1.2815706521739134</x:v>
      </x:c>
      <x:c r="R6" s="74" t="n">
        <x:f>'Marketing &amp; Revenue Pipeline'!R36*('Assumptions'!$C$36+(('Assumptions'!$C$37-'Assumptions'!$C$36)*(17-1)/23))/100000</x:f>
        <x:v>1.4229867674858223</x:v>
      </x:c>
      <x:c r="S6" s="74" t="n">
        <x:f>'Marketing &amp; Revenue Pipeline'!S36*('Assumptions'!$C$36+(('Assumptions'!$C$37-'Assumptions'!$C$36)*(18-1)/23))/100000</x:f>
        <x:v>1.5655482041587905</x:v>
      </x:c>
      <x:c r="T6" s="74" t="n">
        <x:f>'Marketing &amp; Revenue Pipeline'!T36*('Assumptions'!$C$36+(('Assumptions'!$C$37-'Assumptions'!$C$36)*(19-1)/23))/100000</x:f>
        <x:v>1.6612712665406428</x:v>
      </x:c>
      <x:c r="U6" s="74" t="n">
        <x:f>'Marketing &amp; Revenue Pipeline'!U36*('Assumptions'!$C$36+(('Assumptions'!$C$37-'Assumptions'!$C$36)*(20-1)/23))/100000</x:f>
        <x:v>1.7562440926275993</x:v>
      </x:c>
      <x:c r="V6" s="74" t="n">
        <x:f>'Marketing &amp; Revenue Pipeline'!V36*('Assumptions'!$C$36+(('Assumptions'!$C$37-'Assumptions'!$C$36)*(21-1)/23))/100000</x:f>
        <x:v>1.8489829867674858</x:v>
      </x:c>
      <x:c r="W6" s="74" t="n">
        <x:f>'Marketing &amp; Revenue Pipeline'!W36*('Assumptions'!$C$36+(('Assumptions'!$C$37-'Assumptions'!$C$36)*(22-1)/23))/100000</x:f>
        <x:v>1.9305801039697543</x:v>
      </x:c>
      <x:c r="X6" s="74" t="n">
        <x:f>'Marketing &amp; Revenue Pipeline'!X36*('Assumptions'!$C$36+(('Assumptions'!$C$37-'Assumptions'!$C$36)*(23-1)/23))/100000</x:f>
        <x:v>2.003400283553875</x:v>
      </x:c>
      <x:c r="Y6" s="74" t="n">
        <x:f>'Marketing &amp; Revenue Pipeline'!Y36*('Assumptions'!$C$36+(('Assumptions'!$C$37-'Assumptions'!$C$36)*(24-1)/23))/100000</x:f>
        <x:v>2.0625</x:v>
      </x:c>
    </x:row>
    <x:row r="7" ht="15" hidden="0" customHeight="1">
      <x:c r="A7" t="str">
        <x:v>Production Cloud Cost</x:v>
      </x:c>
      <x:c r="B7" s="74" t="n">
        <x:f>'Marketing &amp; Revenue Pipeline'!B36*('Assumptions'!$C$38+(('Assumptions'!$C$39-'Assumptions'!$C$38)*(1-1)/23))/100000</x:f>
        <x:v>0.01</x:v>
      </x:c>
      <x:c r="C7" s="74" t="n">
        <x:f>'Marketing &amp; Revenue Pipeline'!C36*('Assumptions'!$C$38+(('Assumptions'!$C$39-'Assumptions'!$C$38)*(2-1)/23))/100000</x:f>
        <x:v>0.025376937618147445</x:v>
      </x:c>
      <x:c r="D7" s="74" t="n">
        <x:f>'Marketing &amp; Revenue Pipeline'!D36*('Assumptions'!$C$38+(('Assumptions'!$C$39-'Assumptions'!$C$38)*(3-1)/23))/100000</x:f>
        <x:v>0.04448393194706994</x:v>
      </x:c>
      <x:c r="E7" s="74" t="n">
        <x:f>'Marketing &amp; Revenue Pipeline'!E36*('Assumptions'!$C$38+(('Assumptions'!$C$39-'Assumptions'!$C$38)*(4-1)/23))/100000</x:f>
        <x:v>0.06286559546313801</x:v>
      </x:c>
      <x:c r="F7" s="74" t="n">
        <x:f>'Marketing &amp; Revenue Pipeline'!F36*('Assumptions'!$C$38+(('Assumptions'!$C$39-'Assumptions'!$C$38)*(5-1)/23))/100000</x:f>
        <x:v>0.08373913043478262</x:v>
      </x:c>
      <x:c r="G7" s="74" t="n">
        <x:f>'Marketing &amp; Revenue Pipeline'!G36*('Assumptions'!$C$38+(('Assumptions'!$C$39-'Assumptions'!$C$38)*(6-1)/23))/100000</x:f>
        <x:v>0.10713374291115313</x:v>
      </x:c>
      <x:c r="H7" s="74" t="n">
        <x:f>'Marketing &amp; Revenue Pipeline'!H36*('Assumptions'!$C$38+(('Assumptions'!$C$39-'Assumptions'!$C$38)*(7-1)/23))/100000</x:f>
        <x:v>0.13306275992438565</x:v>
      </x:c>
      <x:c r="I7" s="74" t="n">
        <x:f>'Marketing &amp; Revenue Pipeline'!I36*('Assumptions'!$C$38+(('Assumptions'!$C$39-'Assumptions'!$C$38)*(8-1)/23))/100000</x:f>
        <x:v>0.16152362948960303</x:v>
      </x:c>
      <x:c r="J7" s="74" t="n">
        <x:f>'Marketing &amp; Revenue Pipeline'!J36*('Assumptions'!$C$38+(('Assumptions'!$C$39-'Assumptions'!$C$38)*(9-1)/23))/100000</x:f>
        <x:v>0.19249792060491497</x:v>
      </x:c>
      <x:c r="K7" s="74" t="n">
        <x:f>'Marketing &amp; Revenue Pipeline'!K36*('Assumptions'!$C$38+(('Assumptions'!$C$39-'Assumptions'!$C$38)*(10-1)/23))/100000</x:f>
        <x:v>0.2259513232514178</x:v>
      </x:c>
      <x:c r="L7" s="74" t="n">
        <x:f>'Marketing &amp; Revenue Pipeline'!L36*('Assumptions'!$C$38+(('Assumptions'!$C$39-'Assumptions'!$C$38)*(11-1)/23))/100000</x:f>
        <x:v>0.2603790170132325</x:v>
      </x:c>
      <x:c r="M7" s="74" t="n">
        <x:f>'Marketing &amp; Revenue Pipeline'!M36*('Assumptions'!$C$38+(('Assumptions'!$C$39-'Assumptions'!$C$38)*(12-1)/23))/100000</x:f>
        <x:v>0.29710775047258986</x:v>
      </x:c>
      <x:c r="N7" s="74" t="n">
        <x:f>'Marketing &amp; Revenue Pipeline'!N36*('Assumptions'!$C$38+(('Assumptions'!$C$39-'Assumptions'!$C$38)*(13-1)/23))/100000</x:f>
        <x:v>0.34211871455576554</x:v>
      </x:c>
      <x:c r="O7" s="74" t="n">
        <x:f>'Marketing &amp; Revenue Pipeline'!O36*('Assumptions'!$C$38+(('Assumptions'!$C$39-'Assumptions'!$C$38)*(14-1)/23))/100000</x:f>
        <x:v>0.39408998109640836</x:v>
      </x:c>
      <x:c r="P7" s="74" t="n">
        <x:f>'Marketing &amp; Revenue Pipeline'!P36*('Assumptions'!$C$38+(('Assumptions'!$C$39-'Assumptions'!$C$38)*(15-1)/23))/100000</x:f>
        <x:v>0.4499659735349717</x:v>
      </x:c>
      <x:c r="Q7" s="74" t="n">
        <x:f>'Marketing &amp; Revenue Pipeline'!Q36*('Assumptions'!$C$38+(('Assumptions'!$C$39-'Assumptions'!$C$38)*(16-1)/23))/100000</x:f>
        <x:v>0.5096304347826088</x:v>
      </x:c>
      <x:c r="R7" s="74" t="n">
        <x:f>'Marketing &amp; Revenue Pipeline'!R36*('Assumptions'!$C$38+(('Assumptions'!$C$39-'Assumptions'!$C$38)*(17-1)/23))/100000</x:f>
        <x:v>0.5761361058601134</x:v>
      </x:c>
      <x:c r="S7" s="74" t="n">
        <x:f>'Marketing &amp; Revenue Pipeline'!S36*('Assumptions'!$C$38+(('Assumptions'!$C$39-'Assumptions'!$C$38)*(18-1)/23))/100000</x:f>
        <x:v>0.646162570888469</x:v>
      </x:c>
      <x:c r="T7" s="74" t="n">
        <x:f>'Marketing &amp; Revenue Pipeline'!T36*('Assumptions'!$C$38+(('Assumptions'!$C$39-'Assumptions'!$C$38)*(19-1)/23))/100000</x:f>
        <x:v>0.6999489603024576</x:v>
      </x:c>
      <x:c r="U7" s="74" t="n">
        <x:f>'Marketing &amp; Revenue Pipeline'!U36*('Assumptions'!$C$38+(('Assumptions'!$C$39-'Assumptions'!$C$38)*(20-1)/23))/100000</x:f>
        <x:v>0.7565359168241966</x:v>
      </x:c>
      <x:c r="V7" s="74" t="n">
        <x:f>'Marketing &amp; Revenue Pipeline'!V36*('Assumptions'!$C$38+(('Assumptions'!$C$39-'Assumptions'!$C$38)*(21-1)/23))/100000</x:f>
        <x:v>0.8157277882797732</x:v>
      </x:c>
      <x:c r="W7" s="74" t="n">
        <x:f>'Marketing &amp; Revenue Pipeline'!W36*('Assumptions'!$C$38+(('Assumptions'!$C$39-'Assumptions'!$C$38)*(22-1)/23))/100000</x:f>
        <x:v>0.873999054820416</x:v>
      </x:c>
      <x:c r="X7" s="74" t="n">
        <x:f>'Marketing &amp; Revenue Pipeline'!X36*('Assumptions'!$C$38+(('Assumptions'!$C$39-'Assumptions'!$C$38)*(23-1)/23))/100000</x:f>
        <x:v>0.9327306238185255</x:v>
      </x:c>
      <x:c r="Y7" s="74" t="n">
        <x:f>'Marketing &amp; Revenue Pipeline'!Y36*('Assumptions'!$C$38+(('Assumptions'!$C$39-'Assumptions'!$C$38)*(24-1)/23))/100000</x:f>
        <x:v>0.99</x:v>
      </x:c>
    </x:row>
    <x:row r="8" ht="15" hidden="0" customHeight="1">
      <x:c r="A8" t="str">
        <x:v>Variable Market Data Cost</x:v>
      </x:c>
      <x:c r="B8" s="74" t="n">
        <x:f>'Marketing &amp; Revenue Pipeline'!B36*'Assumptions'!$C$40/100000</x:f>
        <x:v>0.0025</x:v>
      </x:c>
      <x:c r="C8" s="74" t="n">
        <x:f>'Marketing &amp; Revenue Pipeline'!C36*'Assumptions'!$C$40/100000</x:f>
        <x:v>0.006456521739130435</x:v>
      </x:c>
      <x:c r="D8" s="74" t="n">
        <x:f>'Marketing &amp; Revenue Pipeline'!D36*'Assumptions'!$C$40/100000</x:f>
        <x:v>0.011521739130434782</x:v>
      </x:c>
      <x:c r="E8" s="74" t="n">
        <x:f>'Marketing &amp; Revenue Pipeline'!E36*'Assumptions'!$C$40/100000</x:f>
        <x:v>0.016581521739130436</x:v>
      </x:c>
      <x:c r="F8" s="74" t="n">
        <x:f>'Marketing &amp; Revenue Pipeline'!F36*'Assumptions'!$C$40/100000</x:f>
        <x:v>0.0225</x:v>
      </x:c>
      <x:c r="G8" s="74" t="n">
        <x:f>'Marketing &amp; Revenue Pipeline'!G36*'Assumptions'!$C$40/100000</x:f>
        <x:v>0.02933423913043479</x:v>
      </x:c>
      <x:c r="H8" s="74" t="n">
        <x:f>'Marketing &amp; Revenue Pipeline'!H36*'Assumptions'!$C$40/100000</x:f>
        <x:v>0.03714130434782609</x:v>
      </x:c>
      <x:c r="I8" s="74" t="n">
        <x:f>'Marketing &amp; Revenue Pipeline'!I36*'Assumptions'!$C$40/100000</x:f>
        <x:v>0.04597826086956522</x:v>
      </x:c>
      <x:c r="J8" s="74" t="n">
        <x:f>'Marketing &amp; Revenue Pipeline'!J36*'Assumptions'!$C$40/100000</x:f>
        <x:v>0.05590217391304349</x:v>
      </x:c>
      <x:c r="K8" s="74" t="n">
        <x:f>'Marketing &amp; Revenue Pipeline'!K36*'Assumptions'!$C$40/100000</x:f>
        <x:v>0.06697010869565219</x:v>
      </x:c>
      <x:c r="L8" s="74" t="n">
        <x:f>'Marketing &amp; Revenue Pipeline'!L36*'Assumptions'!$C$40/100000</x:f>
        <x:v>0.07879891304347826</x:v>
      </x:c>
      <x:c r="M8" s="74" t="n">
        <x:f>'Marketing &amp; Revenue Pipeline'!M36*'Assumptions'!$C$40/100000</x:f>
        <x:v>0.09184782608695653</x:v>
      </x:c>
      <x:c r="N8" s="74" t="n">
        <x:f>'Marketing &amp; Revenue Pipeline'!N36*'Assumptions'!$C$40/100000</x:f>
        <x:v>0.10808695652173912</x:v>
      </x:c>
      <x:c r="O8" s="74" t="n">
        <x:f>'Marketing &amp; Revenue Pipeline'!O36*'Assumptions'!$C$40/100000</x:f>
        <x:v>0.127304347826087</x:v>
      </x:c>
      <x:c r="P8" s="74" t="n">
        <x:f>'Marketing &amp; Revenue Pipeline'!P36*'Assumptions'!$C$40/100000</x:f>
        <x:v>0.1486956521739131</x:v>
      </x:c>
      <x:c r="Q8" s="74" t="n">
        <x:f>'Marketing &amp; Revenue Pipeline'!Q36*'Assumptions'!$C$40/100000</x:f>
        <x:v>0.17237500000000003</x:v>
      </x:c>
      <x:c r="R8" s="74" t="n">
        <x:f>'Marketing &amp; Revenue Pipeline'!R36*'Assumptions'!$C$40/100000</x:f>
        <x:v>0.19956521739130437</x:v>
      </x:c>
      <x:c r="S8" s="74" t="n">
        <x:f>'Marketing &amp; Revenue Pipeline'!S36*'Assumptions'!$C$40/100000</x:f>
        <x:v>0.22934782608695656</x:v>
      </x:c>
      <x:c r="T8" s="74" t="n">
        <x:f>'Marketing &amp; Revenue Pipeline'!T36*'Assumptions'!$C$40/100000</x:f>
        <x:v>0.25472826086956524</x:v>
      </x:c>
      <x:c r="U8" s="74" t="n">
        <x:f>'Marketing &amp; Revenue Pipeline'!U36*'Assumptions'!$C$40/100000</x:f>
        <x:v>0.28247282608695656</x:v>
      </x:c>
      <x:c r="V8" s="74" t="n">
        <x:f>'Marketing &amp; Revenue Pipeline'!V36*'Assumptions'!$C$40/100000</x:f>
        <x:v>0.31269565217391304</x:v>
      </x:c>
      <x:c r="W8" s="74" t="n">
        <x:f>'Marketing &amp; Revenue Pipeline'!W36*'Assumptions'!$C$40/100000</x:f>
        <x:v>0.34421195652173914</x:v>
      </x:c>
      <x:c r="X8" s="74" t="n">
        <x:f>'Marketing &amp; Revenue Pipeline'!X36*'Assumptions'!$C$40/100000</x:f>
        <x:v>0.3776902173913043</x:v>
      </x:c>
      <x:c r="Y8" s="74" t="n">
        <x:f>'Marketing &amp; Revenue Pipeline'!Y36*'Assumptions'!$C$40/100000</x:f>
        <x:v>0.4125</x:v>
      </x:c>
    </x:row>
    <x:row r="9" ht="15" hidden="0" customHeight="1">
      <x:c r="A9" t="str">
        <x:v>Included Advisory Cost</x:v>
      </x:c>
      <x:c r="B9" s="74" t="n">
        <x:f>'Marketing &amp; Revenue Pipeline'!B42*'Assumptions'!$C$41/100000</x:f>
        <x:v>0.0017960000000000003</x:v>
      </x:c>
      <x:c r="C9" s="74" t="n">
        <x:f>'Marketing &amp; Revenue Pipeline'!C42*'Assumptions'!$C$41/100000</x:f>
        <x:v>0.007785565217391304</x:v>
      </x:c>
      <x:c r="D9" s="74" t="n">
        <x:f>'Marketing &amp; Revenue Pipeline'!D42*'Assumptions'!$C$41/100000</x:f>
        <x:v>0.01798608695652174</x:v>
      </x:c>
      <x:c r="E9" s="74" t="n">
        <x:f>'Marketing &amp; Revenue Pipeline'!E42*'Assumptions'!$C$41/100000</x:f>
        <x:v>0.030797913043478266</x:v>
      </x:c>
      <x:c r="F9" s="74" t="n">
        <x:f>'Marketing &amp; Revenue Pipeline'!F42*'Assumptions'!$C$41/100000</x:f>
        <x:v>0.04556791304347826</x:v>
      </x:c>
      <x:c r="G9" s="74" t="n">
        <x:f>'Marketing &amp; Revenue Pipeline'!G42*'Assumptions'!$C$41/100000</x:f>
        <x:v>0.06232217391304348</x:v>
      </x:c>
      <x:c r="H9" s="74" t="n">
        <x:f>'Marketing &amp; Revenue Pipeline'!H42*'Assumptions'!$C$41/100000</x:f>
        <x:v>0.08014608695652174</x:v>
      </x:c>
      <x:c r="I9" s="74" t="n">
        <x:f>'Marketing &amp; Revenue Pipeline'!I42*'Assumptions'!$C$41/100000</x:f>
        <x:v>0.09855913043478261</x:v>
      </x:c>
      <x:c r="J9" s="74" t="n">
        <x:f>'Marketing &amp; Revenue Pipeline'!J42*'Assumptions'!$C$41/100000</x:f>
        <x:v>0.11775695652173912</x:v>
      </x:c>
      <x:c r="K9" s="74" t="n">
        <x:f>'Marketing &amp; Revenue Pipeline'!K42*'Assumptions'!$C$41/100000</x:f>
        <x:v>0.13793521739130432</x:v>
      </x:c>
      <x:c r="L9" s="74" t="n">
        <x:f>'Marketing &amp; Revenue Pipeline'!L42*'Assumptions'!$C$41/100000</x:f>
        <x:v>0.15891347826086957</x:v>
      </x:c>
      <x:c r="M9" s="74" t="n">
        <x:f>'Marketing &amp; Revenue Pipeline'!M42*'Assumptions'!$C$41/100000</x:f>
        <x:v>0.18082217391304348</x:v>
      </x:c>
      <x:c r="N9" s="74" t="n">
        <x:f>'Marketing &amp; Revenue Pipeline'!N42*'Assumptions'!$C$41/100000</x:f>
        <x:v>0.20593304347826089</x:v>
      </x:c>
      <x:c r="O9" s="74" t="n">
        <x:f>'Marketing &amp; Revenue Pipeline'!O42*'Assumptions'!$C$41/100000</x:f>
        <x:v>0.23612434782608696</x:v>
      </x:c>
      <x:c r="P9" s="74" t="n">
        <x:f>'Marketing &amp; Revenue Pipeline'!P42*'Assumptions'!$C$41/100000</x:f>
        <x:v>0.2707895652173913</x:v>
      </x:c>
      <x:c r="Q9" s="74" t="n">
        <x:f>'Marketing &amp; Revenue Pipeline'!Q42*'Assumptions'!$C$41/100000</x:f>
        <x:v>0.30950260869565216</x:v>
      </x:c>
      <x:c r="R9" s="74" t="n">
        <x:f>'Marketing &amp; Revenue Pipeline'!R42*'Assumptions'!$C$41/100000</x:f>
        <x:v>0.35379826086956523</x:v>
      </x:c>
      <x:c r="S9" s="74" t="n">
        <x:f>'Marketing &amp; Revenue Pipeline'!S42*'Assumptions'!$C$41/100000</x:f>
        <x:v>0.40419826086956523</x:v>
      </x:c>
      <x:c r="T9" s="74" t="n">
        <x:f>'Marketing &amp; Revenue Pipeline'!T42*'Assumptions'!$C$41/100000</x:f>
        <x:v>0.45296330434782606</x:v>
      </x:c>
      <x:c r="U9" s="74" t="n">
        <x:f>'Marketing &amp; Revenue Pipeline'!U42*'Assumptions'!$C$41/100000</x:f>
        <x:v>0.5008206956521739</x:v>
      </x:c>
      <x:c r="V9" s="74" t="n">
        <x:f>'Marketing &amp; Revenue Pipeline'!V42*'Assumptions'!$C$41/100000</x:f>
        <x:v>0.5558573913043479</x:v>
      </x:c>
      <x:c r="W9" s="74" t="n">
        <x:f>'Marketing &amp; Revenue Pipeline'!W42*'Assumptions'!$C$41/100000</x:f>
        <x:v>0.6167113043478261</x:v>
      </x:c>
      <x:c r="X9" s="74" t="n">
        <x:f>'Marketing &amp; Revenue Pipeline'!X42*'Assumptions'!$C$41/100000</x:f>
        <x:v>0.68235</x:v>
      </x:c>
      <x:c r="Y9" s="74" t="n">
        <x:f>'Marketing &amp; Revenue Pipeline'!Y42*'Assumptions'!$C$41/100000</x:f>
        <x:v>0.7528386956521739</x:v>
      </x:c>
    </x:row>
    <x:row r="10" ht="15" hidden="0" customHeight="1">
      <x:c r="A10" t="str">
        <x:v>Premium Advisory Delivery Cost</x:v>
      </x:c>
      <x:c r="B10" s="74" t="n">
        <x:f>'Marketing &amp; Revenue Pipeline'!B42*'Assumptions'!B59*('Assumptions'!$C$28/12)*'Assumptions'!$C$42/100000</x:f>
        <x:v>0.0000505125</x:v>
      </x:c>
      <x:c r="C10" s="74" t="n">
        <x:f>'Marketing &amp; Revenue Pipeline'!C42*'Assumptions'!C59*('Assumptions'!$C$28/12)*'Assumptions'!$C$42/100000</x:f>
        <x:v>0.00023166287807183363</x:v>
      </x:c>
      <x:c r="D10" s="74" t="n">
        <x:f>'Marketing &amp; Revenue Pipeline'!D42*'Assumptions'!D59*('Assumptions'!$C$28/12)*'Assumptions'!$C$42/100000</x:f>
        <x:v>0.0005645089792060491</x:v>
      </x:c>
      <x:c r="E10" s="74" t="n">
        <x:f>'Marketing &amp; Revenue Pipeline'!E42*'Assumptions'!E59*('Assumptions'!$C$28/12)*'Assumptions'!$C$42/100000</x:f>
        <x:v>0.0010168332703213612</x:v>
      </x:c>
      <x:c r="F10" s="74" t="n">
        <x:f>'Marketing &amp; Revenue Pipeline'!F42*'Assumptions'!F59*('Assumptions'!$C$28/12)*'Assumptions'!$C$42/100000</x:f>
        <x:v>0.0015787795959357276</x:v>
      </x:c>
      <x:c r="G10" s="74" t="n">
        <x:f>'Marketing &amp; Revenue Pipeline'!G42*'Assumptions'!G59*('Assumptions'!$C$28/12)*'Assumptions'!$C$42/100000</x:f>
        <x:v>0.0022608723416824195</x:v>
      </x:c>
      <x:c r="H10" s="74" t="n">
        <x:f>'Marketing &amp; Revenue Pipeline'!H42*'Assumptions'!H59*('Assumptions'!$C$28/12)*'Assumptions'!$C$42/100000</x:f>
        <x:v>0.003038146502835538</x:v>
      </x:c>
      <x:c r="I10" s="74" t="n">
        <x:f>'Marketing &amp; Revenue Pipeline'!I42*'Assumptions'!I59*('Assumptions'!$C$28/12)*'Assumptions'!$C$42/100000</x:f>
        <x:v>0.003896835184310019</x:v>
      </x:c>
      <x:c r="J10" s="74" t="n">
        <x:f>'Marketing &amp; Revenue Pipeline'!J42*'Assumptions'!J59*('Assumptions'!$C$28/12)*'Assumptions'!$C$42/100000</x:f>
        <x:v>0.0048478747046313804</x:v>
      </x:c>
      <x:c r="K10" s="74" t="n">
        <x:f>'Marketing &amp; Revenue Pipeline'!K42*'Assumptions'!K59*('Assumptions'!$C$28/12)*'Assumptions'!$C$42/100000</x:f>
        <x:v>0.0059034773747637026</x:v>
      </x:c>
      <x:c r="L10" s="74" t="n">
        <x:f>'Marketing &amp; Revenue Pipeline'!L42*'Assumptions'!L59*('Assumptions'!$C$28/12)*'Assumptions'!$C$42/100000</x:f>
        <x:v>0.007060422199905482</x:v>
      </x:c>
      <x:c r="M10" s="74" t="n">
        <x:f>'Marketing &amp; Revenue Pipeline'!M42*'Assumptions'!M59*('Assumptions'!$C$28/12)*'Assumptions'!$C$42/100000</x:f>
        <x:v>0.00832863002126654</x:v>
      </x:c>
      <x:c r="N10" s="74" t="n">
        <x:f>'Marketing &amp; Revenue Pipeline'!N42*'Assumptions'!N59*('Assumptions'!$C$28/12)*'Assumptions'!$C$42/100000</x:f>
        <x:v>0.009820991611531191</x:v>
      </x:c>
      <x:c r="O10" s="74" t="n">
        <x:f>'Marketing &amp; Revenue Pipeline'!O42*'Assumptions'!O59*('Assumptions'!$C$28/12)*'Assumptions'!$C$42/100000</x:f>
        <x:v>0.011645806828922496</x:v>
      </x:c>
      <x:c r="P10" s="74" t="n">
        <x:f>'Marketing &amp; Revenue Pipeline'!P42*'Assumptions'!P59*('Assumptions'!$C$28/12)*'Assumptions'!$C$42/100000</x:f>
        <x:v>0.013797022684310021</x:v>
      </x:c>
      <x:c r="Q10" s="74" t="n">
        <x:f>'Marketing &amp; Revenue Pipeline'!Q42*'Assumptions'!Q59*('Assumptions'!$C$28/12)*'Assumptions'!$C$42/100000</x:f>
        <x:v>0.016274118147448013</x:v>
      </x:c>
      <x:c r="R10" s="74" t="n">
        <x:f>'Marketing &amp; Revenue Pipeline'!R42*'Assumptions'!R59*('Assumptions'!$C$28/12)*'Assumptions'!$C$42/100000</x:f>
        <x:v>0.019180095935727785</x:v>
      </x:c>
      <x:c r="S10" s="74" t="n">
        <x:f>'Marketing &amp; Revenue Pipeline'!S42*'Assumptions'!S59*('Assumptions'!$C$28/12)*'Assumptions'!$C$42/100000</x:f>
        <x:v>0.02257139744801512</x:v>
      </x:c>
      <x:c r="T10" s="74" t="n">
        <x:f>'Marketing &amp; Revenue Pipeline'!T42*'Assumptions'!T59*('Assumptions'!$C$28/12)*'Assumptions'!$C$42/100000</x:f>
        <x:v>0.026033081214555765</x:v>
      </x:c>
      <x:c r="U10" s="74" t="n">
        <x:f>'Marketing &amp; Revenue Pipeline'!U42*'Assumptions'!U59*('Assumptions'!$C$28/12)*'Assumptions'!$C$42/100000</x:f>
        <x:v>0.029600136224007555</x:v>
      </x:c>
      <x:c r="V10" s="74" t="n">
        <x:f>'Marketing &amp; Revenue Pipeline'!V42*'Assumptions'!V59*('Assumptions'!$C$28/12)*'Assumptions'!$C$42/100000</x:f>
        <x:v>0.033759273629489606</x:v>
      </x:c>
      <x:c r="W10" s="74" t="n">
        <x:f>'Marketing &amp; Revenue Pipeline'!W42*'Assumptions'!W59*('Assumptions'!$C$28/12)*'Assumptions'!$C$42/100000</x:f>
        <x:v>0.03846066422495274</x:v>
      </x:c>
      <x:c r="X10" s="74" t="n">
        <x:f>'Marketing &amp; Revenue Pipeline'!X42*'Assumptions'!X59*('Assumptions'!$C$28/12)*'Assumptions'!$C$42/100000</x:f>
        <x:v>0.043666691576086956</x:v>
      </x:c>
      <x:c r="Y10" s="74" t="n">
        <x:f>'Marketing &amp; Revenue Pipeline'!Y42*'Assumptions'!Y59*('Assumptions'!$C$28/12)*'Assumptions'!$C$42/100000</x:f>
        <x:v>0.04940503940217392</x:v>
      </x:c>
    </x:row>
    <x:row r="11" ht="15" hidden="0" customHeight="1">
      <x:c r="A11" t="str">
        <x:v>Payment Gateway Cost</x:v>
      </x:c>
      <x:c r="B11" s="74" t="n">
        <x:f>('Marketing &amp; Revenue Pipeline'!B44+'Marketing &amp; Revenue Pipeline'!B46)*'Assumptions'!$C$43</x:f>
        <x:v>0.000226296</x:v>
      </x:c>
      <x:c r="C11" s="74" t="n">
        <x:f>('Marketing &amp; Revenue Pipeline'!C44+'Marketing &amp; Revenue Pipeline'!C46)*'Assumptions'!$C$43</x:f>
        <x:v>0.0009815453887838691</x:v>
      </x:c>
      <x:c r="D11" s="74" t="n">
        <x:f>('Marketing &amp; Revenue Pipeline'!D44+'Marketing &amp; Revenue Pipeline'!D46)*'Assumptions'!$C$43</x:f>
        <x:v>0.0022688536357908006</x:v>
      </x:c>
      <x:c r="E11" s="74" t="n">
        <x:f>('Marketing &amp; Revenue Pipeline'!E44+'Marketing &amp; Revenue Pipeline'!E46)*'Assumptions'!$C$43</x:f>
        <x:v>0.0038872322419659737</x:v>
      </x:c>
      <x:c r="F11" s="74" t="n">
        <x:f>('Marketing &amp; Revenue Pipeline'!F44+'Marketing &amp; Revenue Pipeline'!F46)*'Assumptions'!$C$43</x:f>
        <x:v>0.005754765134215501</x:v>
      </x:c>
      <x:c r="G11" s="74" t="n">
        <x:f>('Marketing &amp; Revenue Pipeline'!G44+'Marketing &amp; Revenue Pipeline'!G46)*'Assumptions'!$C$43</x:f>
        <x:v>0.00787517441083806</x:v>
      </x:c>
      <x:c r="H11" s="74" t="n">
        <x:f>('Marketing &amp; Revenue Pipeline'!H44+'Marketing &amp; Revenue Pipeline'!H46)*'Assumptions'!$C$43</x:f>
        <x:v>0.010133253081285445</x:v>
      </x:c>
      <x:c r="I11" s="74" t="n">
        <x:f>('Marketing &amp; Revenue Pipeline'!I44+'Marketing &amp; Revenue Pipeline'!I46)*'Assumptions'!$C$43</x:f>
        <x:v>0.012468444196597353</x:v>
      </x:c>
      <x:c r="J11" s="74" t="n">
        <x:f>('Marketing &amp; Revenue Pipeline'!J44+'Marketing &amp; Revenue Pipeline'!J46)*'Assumptions'!$C$43</x:f>
        <x:v>0.014905641424070573</x:v>
      </x:c>
      <x:c r="K11" s="74" t="n">
        <x:f>('Marketing &amp; Revenue Pipeline'!K44+'Marketing &amp; Revenue Pipeline'!K46)*'Assumptions'!$C$43</x:f>
        <x:v>0.017469795141776937</x:v>
      </x:c>
      <x:c r="L11" s="74" t="n">
        <x:f>('Marketing &amp; Revenue Pipeline'!L44+'Marketing &amp; Revenue Pipeline'!L46)*'Assumptions'!$C$43</x:f>
        <x:v>0.0201382529552615</x:v>
      </x:c>
      <x:c r="M11" s="74" t="n">
        <x:f>('Marketing &amp; Revenue Pipeline'!M44+'Marketing &amp; Revenue Pipeline'!M46)*'Assumptions'!$C$43</x:f>
        <x:v>0.022927727529930688</x:v>
      </x:c>
      <x:c r="N11" s="74" t="n">
        <x:f>('Marketing &amp; Revenue Pipeline'!N44+'Marketing &amp; Revenue Pipeline'!N46)*'Assumptions'!$C$43</x:f>
        <x:v>0.026126635689981095</x:v>
      </x:c>
      <x:c r="O11" s="74" t="n">
        <x:f>('Marketing &amp; Revenue Pipeline'!O44+'Marketing &amp; Revenue Pipeline'!O46)*'Assumptions'!$C$43</x:f>
        <x:v>0.029974103805923132</x:v>
      </x:c>
      <x:c r="P11" s="74" t="n">
        <x:f>('Marketing &amp; Revenue Pipeline'!P44+'Marketing &amp; Revenue Pipeline'!P46)*'Assumptions'!$C$43</x:f>
        <x:v>0.03439419926906112</x:v>
      </x:c>
      <x:c r="Q11" s="74" t="n">
        <x:f>('Marketing &amp; Revenue Pipeline'!Q44+'Marketing &amp; Revenue Pipeline'!Q46)*'Assumptions'!$C$43</x:f>
        <x:v>0.03933374457466919</x:v>
      </x:c>
      <x:c r="R11" s="74" t="n">
        <x:f>('Marketing &amp; Revenue Pipeline'!R44+'Marketing &amp; Revenue Pipeline'!R46)*'Assumptions'!$C$43</x:f>
        <x:v>0.04498878175173281</x:v>
      </x:c>
      <x:c r="S11" s="74" t="n">
        <x:f>('Marketing &amp; Revenue Pipeline'!S44+'Marketing &amp; Revenue Pipeline'!S46)*'Assumptions'!$C$43</x:f>
        <x:v>0.05142690626339004</x:v>
      </x:c>
      <x:c r="T11" s="74" t="n">
        <x:f>('Marketing &amp; Revenue Pipeline'!T44+'Marketing &amp; Revenue Pipeline'!T46)*'Assumptions'!$C$43</x:f>
        <x:v>0.05766419804914934</x:v>
      </x:c>
      <x:c r="U11" s="74" t="n">
        <x:f>('Marketing &amp; Revenue Pipeline'!U44+'Marketing &amp; Revenue Pipeline'!U46)*'Assumptions'!$C$43</x:f>
        <x:v>0.06379294339256458</x:v>
      </x:c>
      <x:c r="V11" s="74" t="n">
        <x:f>('Marketing &amp; Revenue Pipeline'!V44+'Marketing &amp; Revenue Pipeline'!V46)*'Assumptions'!$C$43</x:f>
        <x:v>0.07084362172652804</x:v>
      </x:c>
      <x:c r="W11" s="74" t="n">
        <x:f>('Marketing &amp; Revenue Pipeline'!W44+'Marketing &amp; Revenue Pipeline'!W46)*'Assumptions'!$C$43</x:f>
        <x:v>0.07864409807183365</x:v>
      </x:c>
      <x:c r="X11" s="74" t="n">
        <x:f>('Marketing &amp; Revenue Pipeline'!X44+'Marketing &amp; Revenue Pipeline'!X46)*'Assumptions'!$C$43</x:f>
        <x:v>0.08706390434782608</x:v>
      </x:c>
      <x:c r="Y11" s="74" t="n">
        <x:f>('Marketing &amp; Revenue Pipeline'!Y44+'Marketing &amp; Revenue Pipeline'!Y46)*'Assumptions'!$C$43</x:f>
        <x:v>0.0961124068115942</x:v>
      </x:c>
    </x:row>
    <x:row r="12" ht="15" hidden="0" customHeight="1">
      <x:c r="A12" t="str">
        <x:v>Communication Cost</x:v>
      </x:c>
      <x:c r="B12" s="74" t="n">
        <x:f>'Marketing &amp; Revenue Pipeline'!B36*'Assumptions'!$C$44/100000</x:f>
        <x:v>0.0015</x:v>
      </x:c>
      <x:c r="C12" s="74" t="n">
        <x:f>'Marketing &amp; Revenue Pipeline'!C36*'Assumptions'!$C$44/100000</x:f>
        <x:v>0.0038739130434782606</x:v>
      </x:c>
      <x:c r="D12" s="74" t="n">
        <x:f>'Marketing &amp; Revenue Pipeline'!D36*'Assumptions'!$C$44/100000</x:f>
        <x:v>0.00691304347826087</x:v>
      </x:c>
      <x:c r="E12" s="74" t="n">
        <x:f>'Marketing &amp; Revenue Pipeline'!E36*'Assumptions'!$C$44/100000</x:f>
        <x:v>0.009948913043478263</x:v>
      </x:c>
      <x:c r="F12" s="74" t="n">
        <x:f>'Marketing &amp; Revenue Pipeline'!F36*'Assumptions'!$C$44/100000</x:f>
        <x:v>0.0135</x:v>
      </x:c>
      <x:c r="G12" s="74" t="n">
        <x:f>'Marketing &amp; Revenue Pipeline'!G36*'Assumptions'!$C$44/100000</x:f>
        <x:v>0.01760054347826087</x:v>
      </x:c>
      <x:c r="H12" s="74" t="n">
        <x:f>'Marketing &amp; Revenue Pipeline'!H36*'Assumptions'!$C$44/100000</x:f>
        <x:v>0.02228478260869565</x:v>
      </x:c>
      <x:c r="I12" s="74" t="n">
        <x:f>'Marketing &amp; Revenue Pipeline'!I36*'Assumptions'!$C$44/100000</x:f>
        <x:v>0.02758695652173913</x:v>
      </x:c>
      <x:c r="J12" s="74" t="n">
        <x:f>'Marketing &amp; Revenue Pipeline'!J36*'Assumptions'!$C$44/100000</x:f>
        <x:v>0.03354130434782609</x:v>
      </x:c>
      <x:c r="K12" s="74" t="n">
        <x:f>'Marketing &amp; Revenue Pipeline'!K36*'Assumptions'!$C$44/100000</x:f>
        <x:v>0.04018206521739131</x:v>
      </x:c>
      <x:c r="L12" s="74" t="n">
        <x:f>'Marketing &amp; Revenue Pipeline'!L36*'Assumptions'!$C$44/100000</x:f>
        <x:v>0.04727934782608696</x:v>
      </x:c>
      <x:c r="M12" s="74" t="n">
        <x:f>'Marketing &amp; Revenue Pipeline'!M36*'Assumptions'!$C$44/100000</x:f>
        <x:v>0.05510869565217392</x:v>
      </x:c>
      <x:c r="N12" s="74" t="n">
        <x:f>'Marketing &amp; Revenue Pipeline'!N36*'Assumptions'!$C$44/100000</x:f>
        <x:v>0.06485217391304347</x:v>
      </x:c>
      <x:c r="O12" s="74" t="n">
        <x:f>'Marketing &amp; Revenue Pipeline'!O36*'Assumptions'!$C$44/100000</x:f>
        <x:v>0.07638260869565218</x:v>
      </x:c>
      <x:c r="P12" s="74" t="n">
        <x:f>'Marketing &amp; Revenue Pipeline'!P36*'Assumptions'!$C$44/100000</x:f>
        <x:v>0.08921739130434785</x:v>
      </x:c>
      <x:c r="Q12" s="74" t="n">
        <x:f>'Marketing &amp; Revenue Pipeline'!Q36*'Assumptions'!$C$44/100000</x:f>
        <x:v>0.10342500000000002</x:v>
      </x:c>
      <x:c r="R12" s="74" t="n">
        <x:f>'Marketing &amp; Revenue Pipeline'!R36*'Assumptions'!$C$44/100000</x:f>
        <x:v>0.1197391304347826</x:v>
      </x:c>
      <x:c r="S12" s="74" t="n">
        <x:f>'Marketing &amp; Revenue Pipeline'!S36*'Assumptions'!$C$44/100000</x:f>
        <x:v>0.13760869565217393</x:v>
      </x:c>
      <x:c r="T12" s="74" t="n">
        <x:f>'Marketing &amp; Revenue Pipeline'!T36*'Assumptions'!$C$44/100000</x:f>
        <x:v>0.15283695652173915</x:v>
      </x:c>
      <x:c r="U12" s="74" t="n">
        <x:f>'Marketing &amp; Revenue Pipeline'!U36*'Assumptions'!$C$44/100000</x:f>
        <x:v>0.16948369565217392</x:v>
      </x:c>
      <x:c r="V12" s="74" t="n">
        <x:f>'Marketing &amp; Revenue Pipeline'!V36*'Assumptions'!$C$44/100000</x:f>
        <x:v>0.18761739130434785</x:v>
      </x:c>
      <x:c r="W12" s="74" t="n">
        <x:f>'Marketing &amp; Revenue Pipeline'!W36*'Assumptions'!$C$44/100000</x:f>
        <x:v>0.20652717391304348</x:v>
      </x:c>
      <x:c r="X12" s="74" t="n">
        <x:f>'Marketing &amp; Revenue Pipeline'!X36*'Assumptions'!$C$44/100000</x:f>
        <x:v>0.2266141304347826</x:v>
      </x:c>
      <x:c r="Y12" s="74" t="n">
        <x:f>'Marketing &amp; Revenue Pipeline'!Y36*'Assumptions'!$C$44/100000</x:f>
        <x:v>0.2475</x:v>
      </x:c>
    </x:row>
    <x:row r="13" ht="15" hidden="0" customHeight="1">
      <x:c r="A13" t="str">
        <x:v>Variable Customer Support</x:v>
      </x:c>
      <x:c r="B13" s="74" t="n">
        <x:f>'Marketing &amp; Revenue Pipeline'!B36*'Assumptions'!$C$45/100000</x:f>
        <x:v>0.004</x:v>
      </x:c>
      <x:c r="C13" s="74" t="n">
        <x:f>'Marketing &amp; Revenue Pipeline'!C36*'Assumptions'!$C$45/100000</x:f>
        <x:v>0.010330434782608694</x:v>
      </x:c>
      <x:c r="D13" s="74" t="n">
        <x:f>'Marketing &amp; Revenue Pipeline'!D36*'Assumptions'!$C$45/100000</x:f>
        <x:v>0.018434782608695653</x:v>
      </x:c>
      <x:c r="E13" s="74" t="n">
        <x:f>'Marketing &amp; Revenue Pipeline'!E36*'Assumptions'!$C$45/100000</x:f>
        <x:v>0.0265304347826087</x:v>
      </x:c>
      <x:c r="F13" s="74" t="n">
        <x:f>'Marketing &amp; Revenue Pipeline'!F36*'Assumptions'!$C$45/100000</x:f>
        <x:v>0.036</x:v>
      </x:c>
      <x:c r="G13" s="74" t="n">
        <x:f>'Marketing &amp; Revenue Pipeline'!G36*'Assumptions'!$C$45/100000</x:f>
        <x:v>0.04693478260869566</x:v>
      </x:c>
      <x:c r="H13" s="74" t="n">
        <x:f>'Marketing &amp; Revenue Pipeline'!H36*'Assumptions'!$C$45/100000</x:f>
        <x:v>0.05942608695652174</x:v>
      </x:c>
      <x:c r="I13" s="74" t="n">
        <x:f>'Marketing &amp; Revenue Pipeline'!I36*'Assumptions'!$C$45/100000</x:f>
        <x:v>0.07356521739130435</x:v>
      </x:c>
      <x:c r="J13" s="74" t="n">
        <x:f>'Marketing &amp; Revenue Pipeline'!J36*'Assumptions'!$C$45/100000</x:f>
        <x:v>0.08944347826086958</x:v>
      </x:c>
      <x:c r="K13" s="74" t="n">
        <x:f>'Marketing &amp; Revenue Pipeline'!K36*'Assumptions'!$C$45/100000</x:f>
        <x:v>0.10715217391304349</x:v>
      </x:c>
      <x:c r="L13" s="74" t="n">
        <x:f>'Marketing &amp; Revenue Pipeline'!L36*'Assumptions'!$C$45/100000</x:f>
        <x:v>0.12607826086956522</x:v>
      </x:c>
      <x:c r="M13" s="74" t="n">
        <x:f>'Marketing &amp; Revenue Pipeline'!M36*'Assumptions'!$C$45/100000</x:f>
        <x:v>0.14695652173913046</x:v>
      </x:c>
      <x:c r="N13" s="74" t="n">
        <x:f>'Marketing &amp; Revenue Pipeline'!N36*'Assumptions'!$C$45/100000</x:f>
        <x:v>0.1729391304347826</x:v>
      </x:c>
      <x:c r="O13" s="74" t="n">
        <x:f>'Marketing &amp; Revenue Pipeline'!O36*'Assumptions'!$C$45/100000</x:f>
        <x:v>0.20368695652173915</x:v>
      </x:c>
      <x:c r="P13" s="74" t="n">
        <x:f>'Marketing &amp; Revenue Pipeline'!P36*'Assumptions'!$C$45/100000</x:f>
        <x:v>0.23791304347826092</x:v>
      </x:c>
      <x:c r="Q13" s="74" t="n">
        <x:f>'Marketing &amp; Revenue Pipeline'!Q36*'Assumptions'!$C$45/100000</x:f>
        <x:v>0.27580000000000005</x:v>
      </x:c>
      <x:c r="R13" s="74" t="n">
        <x:f>'Marketing &amp; Revenue Pipeline'!R36*'Assumptions'!$C$45/100000</x:f>
        <x:v>0.31930434782608696</x:v>
      </x:c>
      <x:c r="S13" s="74" t="n">
        <x:f>'Marketing &amp; Revenue Pipeline'!S36*'Assumptions'!$C$45/100000</x:f>
        <x:v>0.36695652173913046</x:v>
      </x:c>
      <x:c r="T13" s="74" t="n">
        <x:f>'Marketing &amp; Revenue Pipeline'!T36*'Assumptions'!$C$45/100000</x:f>
        <x:v>0.4075652173913044</x:v>
      </x:c>
      <x:c r="U13" s="74" t="n">
        <x:f>'Marketing &amp; Revenue Pipeline'!U36*'Assumptions'!$C$45/100000</x:f>
        <x:v>0.4519565217391305</x:v>
      </x:c>
      <x:c r="V13" s="74" t="n">
        <x:f>'Marketing &amp; Revenue Pipeline'!V36*'Assumptions'!$C$45/100000</x:f>
        <x:v>0.5003130434782609</x:v>
      </x:c>
      <x:c r="W13" s="74" t="n">
        <x:f>'Marketing &amp; Revenue Pipeline'!W36*'Assumptions'!$C$45/100000</x:f>
        <x:v>0.5507391304347826</x:v>
      </x:c>
      <x:c r="X13" s="74" t="n">
        <x:f>'Marketing &amp; Revenue Pipeline'!X36*'Assumptions'!$C$45/100000</x:f>
        <x:v>0.604304347826087</x:v>
      </x:c>
      <x:c r="Y13" s="74" t="n">
        <x:f>'Marketing &amp; Revenue Pipeline'!Y36*'Assumptions'!$C$45/100000</x:f>
        <x:v>0.66</x:v>
      </x:c>
    </x:row>
    <x:row r="14" ht="15" hidden="0" customHeight="1">
      <x:c r="A14" s="73" t="str">
        <x:v>Total Cost of Service</x:v>
      </x:c>
      <x:c r="B14" s="75" t="n">
        <x:f>SUM(B6:B13)</x:f>
        <x:v>0.05007280850000001</x:v>
      </x:c>
      <x:c r="C14" s="75" t="n">
        <x:f>SUM(C6:C13)</x:f>
        <x:v>0.13054981318178951</x:v>
      </x:c>
      <x:c r="D14" s="75" t="n">
        <x:f>SUM(D6:D13)</x:f>
        <x:v>0.23342058378701955</x:v>
      </x:c>
      <x:c r="E14" s="75" t="n">
        <x:f>SUM(E6:E13)</x:f>
        <x:v>0.3354670541701324</x:v>
      </x:c>
      <x:c r="F14" s="75" t="n">
        <x:f>SUM(F6:F13)</x:f>
        <x:v>0.45124928386058605</x:v>
      </x:c>
      <x:c r="G14" s="75" t="n">
        <x:f>SUM(G6:G13)</x:f>
        <x:v>0.580833338813012</x:v>
      </x:c>
      <x:c r="H14" s="75" t="n">
        <x:f>SUM(H6:H13)</x:f>
        <x:v>0.7231048211342154</x:v>
      </x:c>
      <x:c r="I14" s="75" t="n">
        <x:f>SUM(I6:I13)</x:f>
        <x:v>0.8773639183223064</x:v>
      </x:c>
      <x:c r="J14" s="75" t="n">
        <x:f>SUM(J6:J13)</x:f>
        <x:v>1.043611795901859</x:v>
      </x:c>
      <x:c r="K14" s="75" t="n">
        <x:f>SUM(K6:K13)</x:f>
        <x:v>1.2217656023842156</x:v>
      </x:c>
      <x:c r="L14" s="75" t="n">
        <x:f>SUM(L6:L13)</x:f>
        <x:v>1.4044118698621613</x:v>
      </x:c>
      <x:c r="M14" s="75" t="n">
        <x:f>SUM(M6:M13)</x:f>
        <x:v>1.5977826902544114</x:v>
      </x:c>
      <x:c r="N14" s="75" t="n">
        <x:f>SUM(N6:N13)</x:f>
        <x:v>1.8321687615170132</x:v>
      </x:c>
      <x:c r="O14" s="75" t="n">
        <x:f>SUM(O6:O13)</x:f>
        <x:v>2.1031779068541274</x:v>
      </x:c>
      <x:c r="P14" s="75" t="n">
        <x:f>SUM(P6:P13)</x:f>
        <x:v>2.395547894921235</x:v>
      </x:c>
      <x:c r="Q14" s="75" t="n">
        <x:f>SUM(Q6:Q13)</x:f>
        <x:v>2.707911558374292</x:v>
      </x:c>
      <x:c r="R14" s="75" t="n">
        <x:f>SUM(R6:R13)</x:f>
        <x:v>3.0556987075551354</x:v>
      </x:c>
      <x:c r="S14" s="75" t="n">
        <x:f>SUM(S6:S13)</x:f>
        <x:v>3.42382038310649</x:v>
      </x:c>
      <x:c r="T14" s="75" t="n">
        <x:f>SUM(T6:T13)</x:f>
        <x:v>3.7130112452372406</x:v>
      </x:c>
      <x:c r="U14" s="75" t="n">
        <x:f>SUM(U6:U13)</x:f>
        <x:v>4.010906828198802</x:v>
      </x:c>
      <x:c r="V14" s="75" t="n">
        <x:f>SUM(V6:V13)</x:f>
        <x:v>4.325797148664146</x:v>
      </x:c>
      <x:c r="W14" s="75" t="n">
        <x:f>SUM(W6:W13)</x:f>
        <x:v>4.639873486304348</x:v>
      </x:c>
      <x:c r="X14" s="75" t="n">
        <x:f>SUM(X6:X13)</x:f>
        <x:v>4.957820198948488</x:v>
      </x:c>
      <x:c r="Y14" s="75" t="n">
        <x:f>SUM(Y6:Y13)</x:f>
        <x:v>5.270856141865942</x:v>
      </x:c>
    </x:row>
    <x:row r="15" ht="15" hidden="0" customHeight="1">
      <x:c r="A15" s="73" t="str">
        <x:v>Gross Profit</x:v>
      </x:c>
      <x:c r="B15" s="75" t="n">
        <x:f>'Marketing &amp; Revenue Pipeline'!B47-B14</x:f>
        <x:v>-0.03838300850000001</x:v>
      </x:c>
      <x:c r="C15" s="75" t="n">
        <x:f>'Marketing &amp; Revenue Pipeline'!C47-C14</x:f>
        <x:v>-0.08033014216455711</x:v>
      </x:c>
      <x:c r="D15" s="75" t="n">
        <x:f>'Marketing &amp; Revenue Pipeline'!D47-D14</x:f>
        <x:v>-0.1176093025070546</x:v>
      </x:c>
      <x:c r="E15" s="75" t="n">
        <x:f>'Marketing &amp; Revenue Pipeline'!E47-E14</x:f>
        <x:v>-0.1371935821227912</x:v>
      </x:c>
      <x:c r="F15" s="75" t="n">
        <x:f>'Marketing &amp; Revenue Pipeline'!F47-F14</x:f>
        <x:v>-0.1574819628775993</x:v>
      </x:c>
      <x:c r="G15" s="75" t="n">
        <x:f>'Marketing &amp; Revenue Pipeline'!G47-G14</x:f>
        <x:v>-0.17822443950888334</x:v>
      </x:c>
      <x:c r="H15" s="75" t="n">
        <x:f>'Marketing &amp; Revenue Pipeline'!H47-H14</x:f>
        <x:v>-0.20392014130352576</x:v>
      </x:c>
      <x:c r="I15" s="75" t="n">
        <x:f>'Marketing &amp; Revenue Pipeline'!I47-I14</x:f>
        <x:v>-0.23673245395146736</x:v>
      </x:c>
      <x:c r="J15" s="75" t="n">
        <x:f>'Marketing &amp; Revenue Pipeline'!J47-J14</x:f>
        <x:v>-0.2752344125835937</x:v>
      </x:c>
      <x:c r="K15" s="75" t="n">
        <x:f>'Marketing &amp; Revenue Pipeline'!K47-K14</x:f>
        <x:v>-0.3178924311423319</x:v>
      </x:c>
      <x:c r="L15" s="75" t="n">
        <x:f>'Marketing &amp; Revenue Pipeline'!L47-L14</x:f>
        <x:v>-0.3584200258099435</x:v>
      </x:c>
      <x:c r="M15" s="75" t="n">
        <x:f>'Marketing &amp; Revenue Pipeline'!M47-M14</x:f>
        <x:v>-0.40180890519372814</x:v>
      </x:c>
      <x:c r="N15" s="75" t="n">
        <x:f>'Marketing &amp; Revenue Pipeline'!N47-N14</x:f>
        <x:v>-0.46254787534951114</x:v>
      </x:c>
      <x:c r="O15" s="75" t="n">
        <x:f>'Marketing &amp; Revenue Pipeline'!O47-O14</x:f>
        <x:v>-0.5239027814876989</x:v>
      </x:c>
      <x:c r="P15" s="75" t="n">
        <x:f>'Marketing &amp; Revenue Pipeline'!P47-P14</x:f>
        <x:v>-0.5744353671548725</x:v>
      </x:c>
      <x:c r="Q15" s="75" t="n">
        <x:f>'Marketing &amp; Revenue Pipeline'!Q47-Q14</x:f>
        <x:v>-0.6149246131947077</x:v>
      </x:c>
      <x:c r="R15" s="75" t="n">
        <x:f>'Marketing &amp; Revenue Pipeline'!R47-R14</x:f>
        <x:v>-0.6495688580715604</x:v>
      </x:c>
      <x:c r="S15" s="75" t="n">
        <x:f>'Marketing &amp; Revenue Pipeline'!S47-S14</x:f>
        <x:v>-0.6599789739396185</x:v>
      </x:c>
      <x:c r="T15" s="75" t="n">
        <x:f>'Marketing &amp; Revenue Pipeline'!T47-T14</x:f>
        <x:v>-0.601773804150695</x:v>
      </x:c>
      <x:c r="U15" s="75" t="n">
        <x:f>'Marketing &amp; Revenue Pipeline'!U47-U14</x:f>
        <x:v>-0.5521362098979341</x:v>
      </x:c>
      <x:c r="V15" s="75" t="n">
        <x:f>'Marketing &amp; Revenue Pipeline'!V47-V14</x:f>
        <x:v>-0.4671668801235582</x:v>
      </x:c>
      <x:c r="W15" s="75" t="n">
        <x:f>'Marketing &amp; Revenue Pipeline'!W47-W14</x:f>
        <x:v>-0.3383402149967125</x:v>
      </x:c>
      <x:c r="X15" s="75" t="n">
        <x:f>'Marketing &amp; Revenue Pipeline'!X47-X14</x:f>
        <x:v>-0.17570740481271052</x:v>
      </x:c>
      <x:c r="Y15" s="75" t="n">
        <x:f>'Marketing &amp; Revenue Pipeline'!Y47-Y14</x:f>
        <x:v>0.02976419871376823</x:v>
      </x:c>
    </x:row>
    <x:row r="16" ht="15" hidden="0" customHeight="1">
      <x:c r="A16" t="str">
        <x:v>Gross Margin %</x:v>
      </x:c>
      <x:c r="B16" s="76" t="n">
        <x:f>IF('Marketing &amp; Revenue Pipeline'!B47&gt;0,B15/'Marketing &amp; Revenue Pipeline'!B47,0)</x:f>
        <x:v>-3.2834615220106427</x:v>
      </x:c>
      <x:c r="C16" s="76" t="n">
        <x:f>IF('Marketing &amp; Revenue Pipeline'!C47&gt;0,C15/'Marketing &amp; Revenue Pipeline'!C47,0)</x:f>
        <x:v>-1.5995752369025393</x:v>
      </x:c>
      <x:c r="D16" s="76" t="n">
        <x:f>IF('Marketing &amp; Revenue Pipeline'!D47&gt;0,D15/'Marketing &amp; Revenue Pipeline'!D47,0)</x:f>
        <x:v>-1.0155254411074435</x:v>
      </x:c>
      <x:c r="E16" s="76" t="n">
        <x:f>IF('Marketing &amp; Revenue Pipeline'!E47&gt;0,E15/'Marketing &amp; Revenue Pipeline'!E47,0)</x:f>
        <x:v>-0.6919411896415163</x:v>
      </x:c>
      <x:c r="F16" s="76" t="n">
        <x:f>IF('Marketing &amp; Revenue Pipeline'!F47&gt;0,F15/'Marketing &amp; Revenue Pipeline'!F47,0)</x:f>
        <x:v>-0.5360771999780047</x:v>
      </x:c>
      <x:c r="G16" s="76" t="n">
        <x:f>IF('Marketing &amp; Revenue Pipeline'!G47&gt;0,G15/'Marketing &amp; Revenue Pipeline'!G47,0)</x:f>
        <x:v>-0.4426738698943997</x:v>
      </x:c>
      <x:c r="H16" s="76" t="n">
        <x:f>IF('Marketing &amp; Revenue Pipeline'!H47&gt;0,H15/'Marketing &amp; Revenue Pipeline'!H47,0)</x:f>
        <x:v>-0.39276995108951557</x:v>
      </x:c>
      <x:c r="I16" s="76" t="n">
        <x:f>IF('Marketing &amp; Revenue Pipeline'!I47&gt;0,I15/'Marketing &amp; Revenue Pipeline'!I47,0)</x:f>
        <x:v>-0.36952985783169595</x:v>
      </x:c>
      <x:c r="J16" s="76" t="n">
        <x:f>IF('Marketing &amp; Revenue Pipeline'!J47&gt;0,J15/'Marketing &amp; Revenue Pipeline'!J47,0)</x:f>
        <x:v>-0.3582021264017221</x:v>
      </x:c>
      <x:c r="K16" s="76" t="n">
        <x:f>IF('Marketing &amp; Revenue Pipeline'!K47&gt;0,K15/'Marketing &amp; Revenue Pipeline'!K47,0)</x:f>
        <x:v>-0.35170026200198096</x:v>
      </x:c>
      <x:c r="L16" s="76" t="n">
        <x:f>IF('Marketing &amp; Revenue Pipeline'!L47&gt;0,L15/'Marketing &amp; Revenue Pipeline'!L47,0)</x:f>
        <x:v>-0.3426604402778216</x:v>
      </x:c>
      <x:c r="M16" s="76" t="n">
        <x:f>IF('Marketing &amp; Revenue Pipeline'!M47&gt;0,M15/'Marketing &amp; Revenue Pipeline'!M47,0)</x:f>
        <x:v>-0.335967987102109</x:v>
      </x:c>
      <x:c r="N16" s="76" t="n">
        <x:f>IF('Marketing &amp; Revenue Pipeline'!N47&gt;0,N15/'Marketing &amp; Revenue Pipeline'!N47,0)</x:f>
        <x:v>-0.33771964199802834</x:v>
      </x:c>
      <x:c r="O16" s="76" t="n">
        <x:f>IF('Marketing &amp; Revenue Pipeline'!O47&gt;0,O15/'Marketing &amp; Revenue Pipeline'!O47,0)</x:f>
        <x:v>-0.3317362333343541</x:v>
      </x:c>
      <x:c r="P16" s="76" t="n">
        <x:f>IF('Marketing &amp; Revenue Pipeline'!P47&gt;0,P15/'Marketing &amp; Revenue Pipeline'!P47,0)</x:f>
        <x:v>-0.3154310117560012</x:v>
      </x:c>
      <x:c r="Q16" s="76" t="n">
        <x:f>IF('Marketing &amp; Revenue Pipeline'!Q47&gt;0,Q15/'Marketing &amp; Revenue Pipeline'!Q47,0)</x:f>
        <x:v>-0.2938024121989664</x:v>
      </x:c>
      <x:c r="R16" s="76" t="n">
        <x:f>IF('Marketing &amp; Revenue Pipeline'!R47&gt;0,R15/'Marketing &amp; Revenue Pipeline'!R47,0)</x:f>
        <x:v>-0.2699641742988129</x:v>
      </x:c>
      <x:c r="S16" s="76" t="n">
        <x:f>IF('Marketing &amp; Revenue Pipeline'!S47&gt;0,S15/'Marketing &amp; Revenue Pipeline'!S47,0)</x:f>
        <x:v>-0.2387904645145908</x:v>
      </x:c>
      <x:c r="T16" s="76" t="n">
        <x:f>IF('Marketing &amp; Revenue Pipeline'!T47&gt;0,T15/'Marketing &amp; Revenue Pipeline'!T47,0)</x:f>
        <x:v>-0.19341944018921808</x:v>
      </x:c>
      <x:c r="U16" s="76" t="n">
        <x:f>IF('Marketing &amp; Revenue Pipeline'!U47&gt;0,U15/'Marketing &amp; Revenue Pipeline'!U47,0)</x:f>
        <x:v>-0.1596336591320915</x:v>
      </x:c>
      <x:c r="V16" s="76" t="n">
        <x:f>IF('Marketing &amp; Revenue Pipeline'!V47&gt;0,V15/'Marketing &amp; Revenue Pipeline'!V47,0)</x:f>
        <x:v>-0.12107065139989434</x:v>
      </x:c>
      <x:c r="W16" s="76" t="n">
        <x:f>IF('Marketing &amp; Revenue Pipeline'!W47&gt;0,W15/'Marketing &amp; Revenue Pipeline'!W47,0)</x:f>
        <x:v>-0.07865572428639138</x:v>
      </x:c>
      <x:c r="X16" s="76" t="n">
        <x:f>IF('Marketing &amp; Revenue Pipeline'!X47&gt;0,X15/'Marketing &amp; Revenue Pipeline'!X47,0)</x:f>
        <x:v>-0.03674263079452611</x:v>
      </x:c>
      <x:c r="Y16" s="76" t="n">
        <x:f>IF('Marketing &amp; Revenue Pipeline'!Y47&gt;0,Y15/'Marketing &amp; Revenue Pipeline'!Y47,0)</x:f>
        <x:v>0.005615229313049239</x:v>
      </x:c>
    </x:row>
  </x:sheetData>
  <x:mergeCells>
    <x:mergeCell ref="A1:H1"/>
    <x:mergeCell ref="A2:H2"/>
    <x:mergeCell ref="A5:Y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28.3799991607666" hidden="0" customWidth="1"/>
    <x:col min="3" max="3" width="28.3799991607666" hidden="0" customWidth="1"/>
    <x:col min="4" max="4" width="28.3799991607666" hidden="0" customWidth="1"/>
    <x:col min="5" max="5" width="28.3799991607666" hidden="0" customWidth="1"/>
    <x:col min="6" max="6" width="28.3799991607666" hidden="0" customWidth="1"/>
    <x:col min="7" max="7" width="28.3799991607666" hidden="0" customWidth="1"/>
    <x:col min="8" max="8" width="28.3799991607666" hidden="0" customWidth="1"/>
    <x:col min="9" max="9" width="28.3799991607666" hidden="0" customWidth="1"/>
    <x:col min="10" max="10" width="28.3799991607666" hidden="0" customWidth="1"/>
    <x:col min="11" max="11" width="28.3799991607666" hidden="0" customWidth="1"/>
    <x:col min="12" max="12" width="28.3799991607666" hidden="0" customWidth="1"/>
    <x:col min="13" max="13" width="28.3799991607666" hidden="0" customWidth="1"/>
    <x:col min="14" max="14" width="28.3799991607666" hidden="0" customWidth="1"/>
    <x:col min="15" max="15" width="28.3799991607666" hidden="0" customWidth="1"/>
    <x:col min="16" max="16" width="28.3799991607666" hidden="0" customWidth="1"/>
    <x:col min="17" max="17" width="28.3799991607666" hidden="0" customWidth="1"/>
    <x:col min="18" max="18" width="28.3799991607666" hidden="0" customWidth="1"/>
    <x:col min="19" max="19" width="28.3799991607666" hidden="0" customWidth="1"/>
    <x:col min="20" max="20" width="28.3799991607666" hidden="0" customWidth="1"/>
    <x:col min="21" max="21" width="28.3799991607666" hidden="0" customWidth="1"/>
    <x:col min="22" max="22" width="28.3799991607666" hidden="0" customWidth="1"/>
    <x:col min="23" max="23" width="28.3799991607666" hidden="0" customWidth="1"/>
    <x:col min="24" max="24" width="28.3799991607666" hidden="0" customWidth="1"/>
    <x:col min="25" max="25" width="28.3799991607666" hidden="0" customWidth="1"/>
  </x:cols>
  <x:sheetData>
    <x:row r="1" ht="19.200000762939453" hidden="0" customHeight="1">
      <x:c r="A1" s="2" t="str">
        <x:v>Technology &amp; Product Investment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15" hidden="0" customHeight="1">
      <x:c r="A2" s="4" t="str">
        <x:v>Cash technology build, opex/capitalisation split and depreciation/amortisation.</x:v>
      </x:c>
    </x:row>
    <x:row r="3"/>
    <x:row r="4" ht="15" hidden="0" customHeight="1">
      <x:c r="A4" s="10" t="str">
        <x:v>Metric</x:v>
      </x:c>
      <x:c r="B4" s="11" t="str">
        <x:v>M1</x:v>
      </x:c>
      <x:c r="C4" s="11" t="str">
        <x:v>M2</x:v>
      </x:c>
      <x:c r="D4" s="11" t="str">
        <x:v>M3</x:v>
      </x:c>
      <x:c r="E4" s="11" t="str">
        <x:v>M4</x:v>
      </x:c>
      <x:c r="F4" s="11" t="str">
        <x:v>M5</x:v>
      </x:c>
      <x:c r="G4" s="11" t="str">
        <x:v>M6</x:v>
      </x:c>
      <x:c r="H4" s="11" t="str">
        <x:v>M7</x:v>
      </x:c>
      <x:c r="I4" s="11" t="str">
        <x:v>M8</x:v>
      </x:c>
      <x:c r="J4" s="11" t="str">
        <x:v>M9</x:v>
      </x:c>
      <x:c r="K4" s="11" t="str">
        <x:v>M10</x:v>
      </x:c>
      <x:c r="L4" s="11" t="str">
        <x:v>M11</x:v>
      </x:c>
      <x:c r="M4" s="11" t="str">
        <x:v>M12</x:v>
      </x:c>
      <x:c r="N4" s="11" t="str">
        <x:v>M13</x:v>
      </x:c>
      <x:c r="O4" s="11" t="str">
        <x:v>M14</x:v>
      </x:c>
      <x:c r="P4" s="11" t="str">
        <x:v>M15</x:v>
      </x:c>
      <x:c r="Q4" s="11" t="str">
        <x:v>M16</x:v>
      </x:c>
      <x:c r="R4" s="11" t="str">
        <x:v>M17</x:v>
      </x:c>
      <x:c r="S4" s="11" t="str">
        <x:v>M18</x:v>
      </x:c>
      <x:c r="T4" s="11" t="str">
        <x:v>M19</x:v>
      </x:c>
      <x:c r="U4" s="11" t="str">
        <x:v>M20</x:v>
      </x:c>
      <x:c r="V4" s="11" t="str">
        <x:v>M21</x:v>
      </x:c>
      <x:c r="W4" s="11" t="str">
        <x:v>M22</x:v>
      </x:c>
      <x:c r="X4" s="11" t="str">
        <x:v>M23</x:v>
      </x:c>
      <x:c r="Y4" s="12" t="str">
        <x:v>M24</x:v>
      </x:c>
    </x:row>
    <x:row r="5" ht="15" hidden="0" customHeight="1">
      <x:c r="A5" s="45" t="str">
        <x:v>Technology Spend and Capitalisation</x:v>
      </x:c>
      <x:c r="B5" s="46" t="str">
        <x:v>Technology Spend and Capitalisation</x:v>
      </x:c>
      <x:c r="C5" s="46" t="str">
        <x:v>Technology Spend and Capitalisation</x:v>
      </x:c>
      <x:c r="D5" s="46" t="str">
        <x:v>Technology Spend and Capitalisation</x:v>
      </x:c>
      <x:c r="E5" s="46" t="str">
        <x:v>Technology Spend and Capitalisation</x:v>
      </x:c>
      <x:c r="F5" s="46" t="str">
        <x:v>Technology Spend and Capitalisation</x:v>
      </x:c>
      <x:c r="G5" s="46" t="str">
        <x:v>Technology Spend and Capitalisation</x:v>
      </x:c>
      <x:c r="H5" s="46" t="str">
        <x:v>Technology Spend and Capitalisation</x:v>
      </x:c>
      <x:c r="I5" s="46" t="str">
        <x:v>Technology Spend and Capitalisation</x:v>
      </x:c>
      <x:c r="J5" s="46" t="str">
        <x:v>Technology Spend and Capitalisation</x:v>
      </x:c>
      <x:c r="K5" s="46" t="str">
        <x:v>Technology Spend and Capitalisation</x:v>
      </x:c>
      <x:c r="L5" s="46" t="str">
        <x:v>Technology Spend and Capitalisation</x:v>
      </x:c>
      <x:c r="M5" s="46" t="str">
        <x:v>Technology Spend and Capitalisation</x:v>
      </x:c>
      <x:c r="N5" s="46" t="str">
        <x:v>Technology Spend and Capitalisation</x:v>
      </x:c>
      <x:c r="O5" s="46" t="str">
        <x:v>Technology Spend and Capitalisation</x:v>
      </x:c>
      <x:c r="P5" s="46" t="str">
        <x:v>Technology Spend and Capitalisation</x:v>
      </x:c>
      <x:c r="Q5" s="46" t="str">
        <x:v>Technology Spend and Capitalisation</x:v>
      </x:c>
      <x:c r="R5" s="46" t="str">
        <x:v>Technology Spend and Capitalisation</x:v>
      </x:c>
      <x:c r="S5" s="46" t="str">
        <x:v>Technology Spend and Capitalisation</x:v>
      </x:c>
      <x:c r="T5" s="46" t="str">
        <x:v>Technology Spend and Capitalisation</x:v>
      </x:c>
      <x:c r="U5" s="46" t="str">
        <x:v>Technology Spend and Capitalisation</x:v>
      </x:c>
      <x:c r="V5" s="46" t="str">
        <x:v>Technology Spend and Capitalisation</x:v>
      </x:c>
      <x:c r="W5" s="46" t="str">
        <x:v>Technology Spend and Capitalisation</x:v>
      </x:c>
      <x:c r="X5" s="46" t="str">
        <x:v>Technology Spend and Capitalisation</x:v>
      </x:c>
      <x:c r="Y5" s="47" t="str">
        <x:v>Technology Spend and Capitalisation</x:v>
      </x:c>
    </x:row>
    <x:row r="6" ht="15" hidden="0" customHeight="1">
      <x:c r="A6" t="str">
        <x:v>Engineering/Product Payroll</x:v>
      </x:c>
      <x:c r="B6" s="77" t="n">
        <x:v>4.15</x:v>
      </x:c>
      <x:c r="C6" s="77" t="n">
        <x:v>4.15</x:v>
      </x:c>
      <x:c r="D6" s="77" t="n">
        <x:v>4.15</x:v>
      </x:c>
      <x:c r="E6" s="77" t="n">
        <x:v>5.1499999999999995</x:v>
      </x:c>
      <x:c r="F6" s="77" t="n">
        <x:v>5.1499999999999995</x:v>
      </x:c>
      <x:c r="G6" s="77" t="n">
        <x:v>5.1499999999999995</x:v>
      </x:c>
      <x:c r="H6" s="77" t="n">
        <x:v>5</x:v>
      </x:c>
      <x:c r="I6" s="77" t="n">
        <x:v>5</x:v>
      </x:c>
      <x:c r="J6" s="77" t="n">
        <x:v>5</x:v>
      </x:c>
      <x:c r="K6" s="77" t="n">
        <x:v>5</x:v>
      </x:c>
      <x:c r="L6" s="77" t="n">
        <x:v>5</x:v>
      </x:c>
      <x:c r="M6" s="77" t="n">
        <x:v>5</x:v>
      </x:c>
      <x:c r="N6" s="77" t="n">
        <x:v>5.8</x:v>
      </x:c>
      <x:c r="O6" s="77" t="n">
        <x:v>5.8</x:v>
      </x:c>
      <x:c r="P6" s="77" t="n">
        <x:v>5.8</x:v>
      </x:c>
      <x:c r="Q6" s="77" t="n">
        <x:v>5.8</x:v>
      </x:c>
      <x:c r="R6" s="77" t="n">
        <x:v>5.8</x:v>
      </x:c>
      <x:c r="S6" s="77" t="n">
        <x:v>5.8</x:v>
      </x:c>
      <x:c r="T6" s="77" t="n">
        <x:v>5.8</x:v>
      </x:c>
      <x:c r="U6" s="77" t="n">
        <x:v>5.8</x:v>
      </x:c>
      <x:c r="V6" s="77" t="n">
        <x:v>5.8</x:v>
      </x:c>
      <x:c r="W6" s="77" t="n">
        <x:v>5.8</x:v>
      </x:c>
      <x:c r="X6" s="77" t="n">
        <x:v>5.8</x:v>
      </x:c>
      <x:c r="Y6" s="77" t="n">
        <x:v>5.8</x:v>
      </x:c>
    </x:row>
    <x:row r="7" ht="15" hidden="0" customHeight="1">
      <x:c r="A7" t="str">
        <x:v>Development Infrastructure &amp; Internal AI</x:v>
      </x:c>
      <x:c r="B7" s="77" t="n">
        <x:v>2</x:v>
      </x:c>
      <x:c r="C7" s="77" t="n">
        <x:v>2</x:v>
      </x:c>
      <x:c r="D7" s="77" t="n">
        <x:v>2</x:v>
      </x:c>
      <x:c r="E7" s="77" t="n">
        <x:v>2</x:v>
      </x:c>
      <x:c r="F7" s="77" t="n">
        <x:v>2</x:v>
      </x:c>
      <x:c r="G7" s="77" t="n">
        <x:v>2</x:v>
      </x:c>
      <x:c r="H7" s="77" t="n">
        <x:v>2.5</x:v>
      </x:c>
      <x:c r="I7" s="77" t="n">
        <x:v>2.5</x:v>
      </x:c>
      <x:c r="J7" s="77" t="n">
        <x:v>2.5</x:v>
      </x:c>
      <x:c r="K7" s="77" t="n">
        <x:v>2.5</x:v>
      </x:c>
      <x:c r="L7" s="77" t="n">
        <x:v>2.5</x:v>
      </x:c>
      <x:c r="M7" s="77" t="n">
        <x:v>2.5</x:v>
      </x:c>
      <x:c r="N7" s="77" t="n">
        <x:v>3.1666666666666665</x:v>
      </x:c>
      <x:c r="O7" s="77" t="n">
        <x:v>3.1666666666666665</x:v>
      </x:c>
      <x:c r="P7" s="77" t="n">
        <x:v>3.1666666666666665</x:v>
      </x:c>
      <x:c r="Q7" s="77" t="n">
        <x:v>3.1666666666666665</x:v>
      </x:c>
      <x:c r="R7" s="77" t="n">
        <x:v>3.1666666666666665</x:v>
      </x:c>
      <x:c r="S7" s="77" t="n">
        <x:v>3.1666666666666665</x:v>
      </x:c>
      <x:c r="T7" s="77" t="n">
        <x:v>3.1666666666666665</x:v>
      </x:c>
      <x:c r="U7" s="77" t="n">
        <x:v>3.1666666666666665</x:v>
      </x:c>
      <x:c r="V7" s="77" t="n">
        <x:v>3.1666666666666665</x:v>
      </x:c>
      <x:c r="W7" s="77" t="n">
        <x:v>3.1666666666666665</x:v>
      </x:c>
      <x:c r="X7" s="77" t="n">
        <x:v>3.1666666666666665</x:v>
      </x:c>
      <x:c r="Y7" s="77" t="n">
        <x:v>3.1666666666666665</x:v>
      </x:c>
    </x:row>
    <x:row r="8" ht="15" hidden="0" customHeight="1">
      <x:c r="A8" t="str">
        <x:v>Fixed Market Data Licence</x:v>
      </x:c>
      <x:c r="B8" s="77" t="n">
        <x:v>0.5</x:v>
      </x:c>
      <x:c r="C8" s="77" t="n">
        <x:v>0.5</x:v>
      </x:c>
      <x:c r="D8" s="77" t="n">
        <x:v>0.5</x:v>
      </x:c>
      <x:c r="E8" s="77" t="n">
        <x:v>0.5</x:v>
      </x:c>
      <x:c r="F8" s="77" t="n">
        <x:v>0.5</x:v>
      </x:c>
      <x:c r="G8" s="77" t="n">
        <x:v>4.5</x:v>
      </x:c>
      <x:c r="H8" s="77" t="n">
        <x:v>1</x:v>
      </x:c>
      <x:c r="I8" s="77" t="n">
        <x:v>1</x:v>
      </x:c>
      <x:c r="J8" s="77" t="n">
        <x:v>1</x:v>
      </x:c>
      <x:c r="K8" s="77" t="n">
        <x:v>1</x:v>
      </x:c>
      <x:c r="L8" s="77" t="n">
        <x:v>1</x:v>
      </x:c>
      <x:c r="M8" s="77" t="n">
        <x:v>1</x:v>
      </x:c>
      <x:c r="N8" s="77" t="n">
        <x:v>1</x:v>
      </x:c>
      <x:c r="O8" s="77" t="n">
        <x:v>1</x:v>
      </x:c>
      <x:c r="P8" s="77" t="n">
        <x:v>1</x:v>
      </x:c>
      <x:c r="Q8" s="77" t="n">
        <x:v>1</x:v>
      </x:c>
      <x:c r="R8" s="77" t="n">
        <x:v>1</x:v>
      </x:c>
      <x:c r="S8" s="77" t="n">
        <x:v>1</x:v>
      </x:c>
      <x:c r="T8" s="77" t="n">
        <x:v>1</x:v>
      </x:c>
      <x:c r="U8" s="77" t="n">
        <x:v>1</x:v>
      </x:c>
      <x:c r="V8" s="77" t="n">
        <x:v>1</x:v>
      </x:c>
      <x:c r="W8" s="77" t="n">
        <x:v>1</x:v>
      </x:c>
      <x:c r="X8" s="77" t="n">
        <x:v>1</x:v>
      </x:c>
      <x:c r="Y8" s="77" t="n">
        <x:v>1</x:v>
      </x:c>
    </x:row>
    <x:row r="9" ht="15" hidden="0" customHeight="1">
      <x:c r="A9" t="str">
        <x:v>Security and QA</x:v>
      </x:c>
      <x:c r="B9" s="77" t="n">
        <x:v>0</x:v>
      </x:c>
      <x:c r="C9" s="77" t="n">
        <x:v>4</x:v>
      </x:c>
      <x:c r="D9" s="77" t="n">
        <x:v>0</x:v>
      </x:c>
      <x:c r="E9" s="77" t="n">
        <x:v>0</x:v>
      </x:c>
      <x:c r="F9" s="77" t="n">
        <x:v>6</x:v>
      </x:c>
      <x:c r="G9" s="77" t="n">
        <x:v>0</x:v>
      </x:c>
      <x:c r="H9" s="77" t="n">
        <x:v>0</x:v>
      </x:c>
      <x:c r="I9" s="77" t="n">
        <x:v>5</x:v>
      </x:c>
      <x:c r="J9" s="77" t="n">
        <x:v>0</x:v>
      </x:c>
      <x:c r="K9" s="77" t="n">
        <x:v>0</x:v>
      </x:c>
      <x:c r="L9" s="77" t="n">
        <x:v>0</x:v>
      </x:c>
      <x:c r="M9" s="77" t="n">
        <x:v>5</x:v>
      </x:c>
      <x:c r="N9" s="77" t="n">
        <x:v>0</x:v>
      </x:c>
      <x:c r="O9" s="77" t="n">
        <x:v>0</x:v>
      </x:c>
      <x:c r="P9" s="77" t="n">
        <x:v>0</x:v>
      </x:c>
      <x:c r="Q9" s="77" t="n">
        <x:v>0</x:v>
      </x:c>
      <x:c r="R9" s="77" t="n">
        <x:v>0</x:v>
      </x:c>
      <x:c r="S9" s="77" t="n">
        <x:v>10</x:v>
      </x:c>
      <x:c r="T9" s="77" t="n">
        <x:v>0</x:v>
      </x:c>
      <x:c r="U9" s="77" t="n">
        <x:v>0</x:v>
      </x:c>
      <x:c r="V9" s="77" t="n">
        <x:v>0</x:v>
      </x:c>
      <x:c r="W9" s="77" t="n">
        <x:v>0</x:v>
      </x:c>
      <x:c r="X9" s="77" t="n">
        <x:v>0</x:v>
      </x:c>
      <x:c r="Y9" s="77" t="n">
        <x:v>10</x:v>
      </x:c>
    </x:row>
    <x:row r="10" ht="15" hidden="0" customHeight="1">
      <x:c r="A10" t="str">
        <x:v>Purchased Technology Assets</x:v>
      </x:c>
      <x:c r="B10" s="77" t="n">
        <x:v>0</x:v>
      </x:c>
      <x:c r="C10" s="77" t="n">
        <x:v>5</x:v>
      </x:c>
      <x:c r="D10" s="77" t="n">
        <x:v>0</x:v>
      </x:c>
      <x:c r="E10" s="77" t="n">
        <x:v>0</x:v>
      </x:c>
      <x:c r="F10" s="77" t="n">
        <x:v>0</x:v>
      </x:c>
      <x:c r="G10" s="77" t="n">
        <x:v>0</x:v>
      </x:c>
      <x:c r="H10" s="77" t="n">
        <x:v>3</x:v>
      </x:c>
      <x:c r="I10" s="77" t="n">
        <x:v>0</x:v>
      </x:c>
      <x:c r="J10" s="77" t="n">
        <x:v>0</x:v>
      </x:c>
      <x:c r="K10" s="77" t="n">
        <x:v>0</x:v>
      </x:c>
      <x:c r="L10" s="77" t="n">
        <x:v>0</x:v>
      </x:c>
      <x:c r="M10" s="77" t="n">
        <x:v>0</x:v>
      </x:c>
      <x:c r="N10" s="77" t="n">
        <x:v>2</x:v>
      </x:c>
      <x:c r="O10" s="77" t="n">
        <x:v>0</x:v>
      </x:c>
      <x:c r="P10" s="77" t="n">
        <x:v>0</x:v>
      </x:c>
      <x:c r="Q10" s="77" t="n">
        <x:v>0</x:v>
      </x:c>
      <x:c r="R10" s="77" t="n">
        <x:v>0</x:v>
      </x:c>
      <x:c r="S10" s="77" t="n">
        <x:v>0</x:v>
      </x:c>
      <x:c r="T10" s="77" t="n">
        <x:v>0</x:v>
      </x:c>
      <x:c r="U10" s="77" t="n">
        <x:v>0</x:v>
      </x:c>
      <x:c r="V10" s="77" t="n">
        <x:v>0</x:v>
      </x:c>
      <x:c r="W10" s="77" t="n">
        <x:v>0</x:v>
      </x:c>
      <x:c r="X10" s="77" t="n">
        <x:v>0</x:v>
      </x:c>
      <x:c r="Y10" s="77" t="n">
        <x:v>0</x:v>
      </x:c>
    </x:row>
    <x:row r="11" ht="15" hidden="0" customHeight="1">
      <x:c r="A11" s="73" t="str">
        <x:v>Total Technology Cash Investment</x:v>
      </x:c>
      <x:c r="B11" s="75" t="n">
        <x:f>SUM(B6:B10)</x:f>
        <x:v>6.65</x:v>
      </x:c>
      <x:c r="C11" s="75" t="n">
        <x:f>SUM(C6:C10)</x:f>
        <x:v>15.65</x:v>
      </x:c>
      <x:c r="D11" s="75" t="n">
        <x:f>SUM(D6:D10)</x:f>
        <x:v>6.65</x:v>
      </x:c>
      <x:c r="E11" s="75" t="n">
        <x:f>SUM(E6:E10)</x:f>
        <x:v>7.6499999999999995</x:v>
      </x:c>
      <x:c r="F11" s="75" t="n">
        <x:f>SUM(F6:F10)</x:f>
        <x:v>13.649999999999999</x:v>
      </x:c>
      <x:c r="G11" s="75" t="n">
        <x:f>SUM(G6:G10)</x:f>
        <x:v>11.649999999999999</x:v>
      </x:c>
      <x:c r="H11" s="75" t="n">
        <x:f>SUM(H6:H10)</x:f>
        <x:v>11.5</x:v>
      </x:c>
      <x:c r="I11" s="75" t="n">
        <x:f>SUM(I6:I10)</x:f>
        <x:v>13.5</x:v>
      </x:c>
      <x:c r="J11" s="75" t="n">
        <x:f>SUM(J6:J10)</x:f>
        <x:v>8.5</x:v>
      </x:c>
      <x:c r="K11" s="75" t="n">
        <x:f>SUM(K6:K10)</x:f>
        <x:v>8.5</x:v>
      </x:c>
      <x:c r="L11" s="75" t="n">
        <x:f>SUM(L6:L10)</x:f>
        <x:v>8.5</x:v>
      </x:c>
      <x:c r="M11" s="75" t="n">
        <x:f>SUM(M6:M10)</x:f>
        <x:v>13.5</x:v>
      </x:c>
      <x:c r="N11" s="75" t="n">
        <x:f>SUM(N6:N10)</x:f>
        <x:v>11.966666666666667</x:v>
      </x:c>
      <x:c r="O11" s="75" t="n">
        <x:f>SUM(O6:O10)</x:f>
        <x:v>9.966666666666667</x:v>
      </x:c>
      <x:c r="P11" s="75" t="n">
        <x:f>SUM(P6:P10)</x:f>
        <x:v>9.966666666666667</x:v>
      </x:c>
      <x:c r="Q11" s="75" t="n">
        <x:f>SUM(Q6:Q10)</x:f>
        <x:v>9.966666666666667</x:v>
      </x:c>
      <x:c r="R11" s="75" t="n">
        <x:f>SUM(R6:R10)</x:f>
        <x:v>9.966666666666667</x:v>
      </x:c>
      <x:c r="S11" s="75" t="n">
        <x:f>SUM(S6:S10)</x:f>
        <x:v>19.96666666666667</x:v>
      </x:c>
      <x:c r="T11" s="75" t="n">
        <x:f>SUM(T6:T10)</x:f>
        <x:v>9.966666666666667</x:v>
      </x:c>
      <x:c r="U11" s="75" t="n">
        <x:f>SUM(U6:U10)</x:f>
        <x:v>9.966666666666667</x:v>
      </x:c>
      <x:c r="V11" s="75" t="n">
        <x:f>SUM(V6:V10)</x:f>
        <x:v>9.966666666666667</x:v>
      </x:c>
      <x:c r="W11" s="75" t="n">
        <x:f>SUM(W6:W10)</x:f>
        <x:v>9.966666666666667</x:v>
      </x:c>
      <x:c r="X11" s="75" t="n">
        <x:f>SUM(X6:X10)</x:f>
        <x:v>9.966666666666667</x:v>
      </x:c>
      <x:c r="Y11" s="75" t="n">
        <x:f>SUM(Y6:Y10)</x:f>
        <x:v>19.96666666666667</x:v>
      </x:c>
    </x:row>
    <x:row r="12" ht="15" hidden="0" customHeight="1">
      <x:c r="A12" t="str">
        <x:v>Technology Operating Expense</x:v>
      </x:c>
      <x:c r="B12" s="74" t="n">
        <x:f>(B6+B7+B8+B9)-B14</x:f>
        <x:v>4.4975000000000005</x:v>
      </x:c>
      <x:c r="C12" s="74" t="n">
        <x:f>(C6+C7+C8+C9)-C14</x:f>
        <x:v>8.4975</x:v>
      </x:c>
      <x:c r="D12" s="74" t="n">
        <x:f>(D6+D7+D8+D9)-D14</x:f>
        <x:v>4.4975000000000005</x:v>
      </x:c>
      <x:c r="E12" s="74" t="n">
        <x:f>(E6+E7+E8+E9)-E14</x:f>
        <x:v>5.1475</x:v>
      </x:c>
      <x:c r="F12" s="74" t="n">
        <x:f>(F6+F7+F8+F9)-F14</x:f>
        <x:v>11.147499999999999</x:v>
      </x:c>
      <x:c r="G12" s="74" t="n">
        <x:f>(G6+G7+G8+G9)-G14</x:f>
        <x:v>9.147499999999999</x:v>
      </x:c>
      <x:c r="H12" s="74" t="n">
        <x:f>(H6+H7+H8+H9)-H14</x:f>
        <x:v>5.875</x:v>
      </x:c>
      <x:c r="I12" s="74" t="n">
        <x:f>(I6+I7+I8+I9)-I14</x:f>
        <x:v>10.875</x:v>
      </x:c>
      <x:c r="J12" s="74" t="n">
        <x:f>(J6+J7+J8+J9)-J14</x:f>
        <x:v>5.875</x:v>
      </x:c>
      <x:c r="K12" s="74" t="n">
        <x:f>(K6+K7+K8+K9)-K14</x:f>
        <x:v>5.875</x:v>
      </x:c>
      <x:c r="L12" s="74" t="n">
        <x:f>(L6+L7+L8+L9)-L14</x:f>
        <x:v>5.875</x:v>
      </x:c>
      <x:c r="M12" s="74" t="n">
        <x:f>(M6+M7+M8+M9)-M14</x:f>
        <x:v>10.875</x:v>
      </x:c>
      <x:c r="N12" s="74" t="n">
        <x:f>(N6+N7+N8+N9)-N14</x:f>
        <x:v>6.828333333333333</x:v>
      </x:c>
      <x:c r="O12" s="74" t="n">
        <x:f>(O6+O7+O8+O9)-O14</x:f>
        <x:v>6.828333333333333</x:v>
      </x:c>
      <x:c r="P12" s="74" t="n">
        <x:f>(P6+P7+P8+P9)-P14</x:f>
        <x:v>6.828333333333333</x:v>
      </x:c>
      <x:c r="Q12" s="74" t="n">
        <x:f>(Q6+Q7+Q8+Q9)-Q14</x:f>
        <x:v>6.828333333333333</x:v>
      </x:c>
      <x:c r="R12" s="74" t="n">
        <x:f>(R6+R7+R8+R9)-R14</x:f>
        <x:v>6.828333333333333</x:v>
      </x:c>
      <x:c r="S12" s="74" t="n">
        <x:f>(S6+S7+S8+S9)-S14</x:f>
        <x:v>16.828333333333337</x:v>
      </x:c>
      <x:c r="T12" s="74" t="n">
        <x:f>(T6+T7+T8+T9)-T14</x:f>
        <x:v>6.828333333333333</x:v>
      </x:c>
      <x:c r="U12" s="74" t="n">
        <x:f>(U6+U7+U8+U9)-U14</x:f>
        <x:v>6.828333333333333</x:v>
      </x:c>
      <x:c r="V12" s="74" t="n">
        <x:f>(V6+V7+V8+V9)-V14</x:f>
        <x:v>6.828333333333333</x:v>
      </x:c>
      <x:c r="W12" s="74" t="n">
        <x:f>(W6+W7+W8+W9)-W14</x:f>
        <x:v>6.828333333333333</x:v>
      </x:c>
      <x:c r="X12" s="74" t="n">
        <x:f>(X6+X7+X8+X9)-X14</x:f>
        <x:v>6.828333333333333</x:v>
      </x:c>
      <x:c r="Y12" s="74" t="n">
        <x:f>(Y6+Y7+Y8+Y9)-Y14</x:f>
        <x:v>16.828333333333337</x:v>
      </x:c>
    </x:row>
    <x:row r="13" ht="15" hidden="0" customHeight="1">
      <x:c r="A13" t="str">
        <x:v>Capitalisable Technology Investment</x:v>
      </x:c>
      <x:c r="B13" s="74" t="n">
        <x:f>(B6+B7)*'Assumptions'!$C$34</x:f>
        <x:v>2.1525</x:v>
      </x:c>
      <x:c r="C13" s="74" t="n">
        <x:f>(C6+C7)*'Assumptions'!$C$34</x:f>
        <x:v>2.1525</x:v>
      </x:c>
      <x:c r="D13" s="74" t="n">
        <x:f>(D6+D7)*'Assumptions'!$C$34</x:f>
        <x:v>2.1525</x:v>
      </x:c>
      <x:c r="E13" s="74" t="n">
        <x:f>(E6+E7)*'Assumptions'!$C$34</x:f>
        <x:v>2.5024999999999995</x:v>
      </x:c>
      <x:c r="F13" s="74" t="n">
        <x:f>(F6+F7)*'Assumptions'!$C$34</x:f>
        <x:v>2.5024999999999995</x:v>
      </x:c>
      <x:c r="G13" s="74" t="n">
        <x:f>(G6+G7)*'Assumptions'!$C$34</x:f>
        <x:v>2.5024999999999995</x:v>
      </x:c>
      <x:c r="H13" s="74" t="n">
        <x:f>(H6+H7)*'Assumptions'!$C$34</x:f>
        <x:v>2.625</x:v>
      </x:c>
      <x:c r="I13" s="74" t="n">
        <x:f>(I6+I7)*'Assumptions'!$C$34</x:f>
        <x:v>2.625</x:v>
      </x:c>
      <x:c r="J13" s="74" t="n">
        <x:f>(J6+J7)*'Assumptions'!$C$34</x:f>
        <x:v>2.625</x:v>
      </x:c>
      <x:c r="K13" s="74" t="n">
        <x:f>(K6+K7)*'Assumptions'!$C$34</x:f>
        <x:v>2.625</x:v>
      </x:c>
      <x:c r="L13" s="74" t="n">
        <x:f>(L6+L7)*'Assumptions'!$C$34</x:f>
        <x:v>2.625</x:v>
      </x:c>
      <x:c r="M13" s="74" t="n">
        <x:f>(M6+M7)*'Assumptions'!$C$34</x:f>
        <x:v>2.625</x:v>
      </x:c>
      <x:c r="N13" s="74" t="n">
        <x:f>(N6+N7)*'Assumptions'!$C$34</x:f>
        <x:v>3.138333333333333</x:v>
      </x:c>
      <x:c r="O13" s="74" t="n">
        <x:f>(O6+O7)*'Assumptions'!$C$34</x:f>
        <x:v>3.138333333333333</x:v>
      </x:c>
      <x:c r="P13" s="74" t="n">
        <x:f>(P6+P7)*'Assumptions'!$C$34</x:f>
        <x:v>3.138333333333333</x:v>
      </x:c>
      <x:c r="Q13" s="74" t="n">
        <x:f>(Q6+Q7)*'Assumptions'!$C$34</x:f>
        <x:v>3.138333333333333</x:v>
      </x:c>
      <x:c r="R13" s="74" t="n">
        <x:f>(R6+R7)*'Assumptions'!$C$34</x:f>
        <x:v>3.138333333333333</x:v>
      </x:c>
      <x:c r="S13" s="74" t="n">
        <x:f>(S6+S7)*'Assumptions'!$C$34</x:f>
        <x:v>3.138333333333333</x:v>
      </x:c>
      <x:c r="T13" s="74" t="n">
        <x:f>(T6+T7)*'Assumptions'!$C$34</x:f>
        <x:v>3.138333333333333</x:v>
      </x:c>
      <x:c r="U13" s="74" t="n">
        <x:f>(U6+U7)*'Assumptions'!$C$34</x:f>
        <x:v>3.138333333333333</x:v>
      </x:c>
      <x:c r="V13" s="74" t="n">
        <x:f>(V6+V7)*'Assumptions'!$C$34</x:f>
        <x:v>3.138333333333333</x:v>
      </x:c>
      <x:c r="W13" s="74" t="n">
        <x:f>(W6+W7)*'Assumptions'!$C$34</x:f>
        <x:v>3.138333333333333</x:v>
      </x:c>
      <x:c r="X13" s="74" t="n">
        <x:f>(X6+X7)*'Assumptions'!$C$34</x:f>
        <x:v>3.138333333333333</x:v>
      </x:c>
      <x:c r="Y13" s="74" t="n">
        <x:f>(Y6+Y7)*'Assumptions'!$C$34</x:f>
        <x:v>3.138333333333333</x:v>
      </x:c>
    </x:row>
    <x:row r="14" ht="15" hidden="0" customHeight="1">
      <x:c r="A14" t="str">
        <x:v>Capitalised Development Additions</x:v>
      </x:c>
      <x:c r="B14" s="74" t="n">
        <x:f>B13</x:f>
        <x:v>2.1525</x:v>
      </x:c>
      <x:c r="C14" s="74" t="n">
        <x:f>C13</x:f>
        <x:v>2.1525</x:v>
      </x:c>
      <x:c r="D14" s="74" t="n">
        <x:f>D13</x:f>
        <x:v>2.1525</x:v>
      </x:c>
      <x:c r="E14" s="74" t="n">
        <x:f>E13</x:f>
        <x:v>2.5024999999999995</x:v>
      </x:c>
      <x:c r="F14" s="74" t="n">
        <x:f>F13</x:f>
        <x:v>2.5024999999999995</x:v>
      </x:c>
      <x:c r="G14" s="74" t="n">
        <x:f>G13</x:f>
        <x:v>2.5024999999999995</x:v>
      </x:c>
      <x:c r="H14" s="74" t="n">
        <x:f>H13</x:f>
        <x:v>2.625</x:v>
      </x:c>
      <x:c r="I14" s="74" t="n">
        <x:f>I13</x:f>
        <x:v>2.625</x:v>
      </x:c>
      <x:c r="J14" s="74" t="n">
        <x:f>J13</x:f>
        <x:v>2.625</x:v>
      </x:c>
      <x:c r="K14" s="74" t="n">
        <x:f>K13</x:f>
        <x:v>2.625</x:v>
      </x:c>
      <x:c r="L14" s="74" t="n">
        <x:f>L13</x:f>
        <x:v>2.625</x:v>
      </x:c>
      <x:c r="M14" s="74" t="n">
        <x:f>M13</x:f>
        <x:v>2.625</x:v>
      </x:c>
      <x:c r="N14" s="74" t="n">
        <x:f>N13</x:f>
        <x:v>3.138333333333333</x:v>
      </x:c>
      <x:c r="O14" s="74" t="n">
        <x:f>O13</x:f>
        <x:v>3.138333333333333</x:v>
      </x:c>
      <x:c r="P14" s="74" t="n">
        <x:f>P13</x:f>
        <x:v>3.138333333333333</x:v>
      </x:c>
      <x:c r="Q14" s="74" t="n">
        <x:f>Q13</x:f>
        <x:v>3.138333333333333</x:v>
      </x:c>
      <x:c r="R14" s="74" t="n">
        <x:f>R13</x:f>
        <x:v>3.138333333333333</x:v>
      </x:c>
      <x:c r="S14" s="74" t="n">
        <x:f>S13</x:f>
        <x:v>3.138333333333333</x:v>
      </x:c>
      <x:c r="T14" s="74" t="n">
        <x:f>T13</x:f>
        <x:v>3.138333333333333</x:v>
      </x:c>
      <x:c r="U14" s="74" t="n">
        <x:f>U13</x:f>
        <x:v>3.138333333333333</x:v>
      </x:c>
      <x:c r="V14" s="74" t="n">
        <x:f>V13</x:f>
        <x:v>3.138333333333333</x:v>
      </x:c>
      <x:c r="W14" s="74" t="n">
        <x:f>W13</x:f>
        <x:v>3.138333333333333</x:v>
      </x:c>
      <x:c r="X14" s="74" t="n">
        <x:f>X13</x:f>
        <x:v>3.138333333333333</x:v>
      </x:c>
      <x:c r="Y14" s="74" t="n">
        <x:f>Y13</x:f>
        <x:v>3.138333333333333</x:v>
      </x:c>
    </x:row>
    <x:row r="15" ht="15" hidden="0" customHeight="1">
      <x:c r="A15" t="str">
        <x:v>Accumulated Amortisation</x:v>
      </x:c>
      <x:c r="B15" s="74" t="n">
        <x:f>0+B16</x:f>
        <x:v>0</x:v>
      </x:c>
      <x:c r="C15" s="74" t="n">
        <x:f>B15+C16</x:f>
        <x:v>0.05979166666666666</x:v>
      </x:c>
      <x:c r="D15" s="74" t="n">
        <x:f>C15+D16</x:f>
        <x:v>0.17937499999999998</x:v>
      </x:c>
      <x:c r="E15" s="74" t="n">
        <x:f>D15+E16</x:f>
        <x:v>0.35874999999999996</x:v>
      </x:c>
      <x:c r="F15" s="74" t="n">
        <x:f>E15+F16</x:f>
        <x:v>0.6076388888888888</x:v>
      </x:c>
      <x:c r="G15" s="74" t="n">
        <x:f>F15+G16</x:f>
        <x:v>0.9260416666666665</x:v>
      </x:c>
      <x:c r="H15" s="74" t="n">
        <x:f>G15+H16</x:f>
        <x:v>1.3139583333333331</x:v>
      </x:c>
      <x:c r="I15" s="74" t="n">
        <x:f>H15+I16</x:f>
        <x:v>1.7747916666666663</x:v>
      </x:c>
      <x:c r="J15" s="74" t="n">
        <x:f>I15+J16</x:f>
        <x:v>2.3085416666666663</x:v>
      </x:c>
      <x:c r="K15" s="74" t="n">
        <x:f>J15+K16</x:f>
        <x:v>2.9152083333333327</x:v>
      </x:c>
      <x:c r="L15" s="74" t="n">
        <x:f>K15+L16</x:f>
        <x:v>3.5947916666666657</x:v>
      </x:c>
      <x:c r="M15" s="74" t="n">
        <x:f>L15+M16</x:f>
        <x:v>4.347291666666665</x:v>
      </x:c>
      <x:c r="N15" s="74" t="n">
        <x:f>M15+N16</x:f>
        <x:v>5.172708333333332</x:v>
      </x:c>
      <x:c r="O15" s="74" t="n">
        <x:f>N15+O16</x:f>
        <x:v>6.0853009259259245</x:v>
      </x:c>
      <x:c r="P15" s="74" t="n">
        <x:f>O15+P16</x:f>
        <x:v>7.085069444444443</x:v>
      </x:c>
      <x:c r="Q15" s="74" t="n">
        <x:f>P15+Q16</x:f>
        <x:v>8.172013888888888</x:v>
      </x:c>
      <x:c r="R15" s="74" t="n">
        <x:f>Q15+R16</x:f>
        <x:v>9.346134259259259</x:v>
      </x:c>
      <x:c r="S15" s="74" t="n">
        <x:f>R15+S16</x:f>
        <x:v>10.607430555555554</x:v>
      </x:c>
      <x:c r="T15" s="74" t="n">
        <x:f>S15+T16</x:f>
        <x:v>11.955902777777776</x:v>
      </x:c>
      <x:c r="U15" s="74" t="n">
        <x:f>T15+U16</x:f>
        <x:v>13.391550925925925</x:v>
      </x:c>
      <x:c r="V15" s="74" t="n">
        <x:f>U15+V16</x:f>
        <x:v>14.914375</x:v>
      </x:c>
      <x:c r="W15" s="74" t="n">
        <x:f>V15+W16</x:f>
        <x:v>16.524375</x:v>
      </x:c>
      <x:c r="X15" s="74" t="n">
        <x:f>W15+X16</x:f>
        <x:v>18.221550925925925</x:v>
      </x:c>
      <x:c r="Y15" s="74" t="n">
        <x:f>X15+Y16</x:f>
        <x:v>20.005902777777777</x:v>
      </x:c>
    </x:row>
    <x:row r="16" ht="15" hidden="0" customHeight="1">
      <x:c r="A16" t="str">
        <x:v>Amortisation Expense</x:v>
      </x:c>
      <x:c r="B16" s="74" t="n">
        <x:f>0</x:f>
        <x:v>0</x:v>
      </x:c>
      <x:c r="C16" s="74" t="n">
        <x:f>B14/'Assumptions'!$C$35</x:f>
        <x:v>0.05979166666666666</x:v>
      </x:c>
      <x:c r="D16" s="74" t="n">
        <x:f>B14/'Assumptions'!$C$35+C14/'Assumptions'!$C$35</x:f>
        <x:v>0.11958333333333332</x:v>
      </x:c>
      <x:c r="E16" s="74" t="n">
        <x:f>B14/'Assumptions'!$C$35+C14/'Assumptions'!$C$35+D14/'Assumptions'!$C$35</x:f>
        <x:v>0.17937499999999998</x:v>
      </x:c>
      <x:c r="F16" s="74" t="n">
        <x:f>B14/'Assumptions'!$C$35+C14/'Assumptions'!$C$35+D14/'Assumptions'!$C$35+E14/'Assumptions'!$C$35</x:f>
        <x:v>0.24888888888888885</x:v>
      </x:c>
      <x:c r="G16" s="74" t="n">
        <x:f>B14/'Assumptions'!$C$35+C14/'Assumptions'!$C$35+D14/'Assumptions'!$C$35+E14/'Assumptions'!$C$35+F14/'Assumptions'!$C$35</x:f>
        <x:v>0.3184027777777777</x:v>
      </x:c>
      <x:c r="H16" s="74" t="n">
        <x:f>B14/'Assumptions'!$C$35+C14/'Assumptions'!$C$35+D14/'Assumptions'!$C$35+E14/'Assumptions'!$C$35+F14/'Assumptions'!$C$35+G14/'Assumptions'!$C$35</x:f>
        <x:v>0.3879166666666666</x:v>
      </x:c>
      <x:c r="I16" s="74" t="n">
        <x:f>B14/'Assumptions'!$C$35+C14/'Assumptions'!$C$35+D14/'Assumptions'!$C$35+E14/'Assumptions'!$C$35+F14/'Assumptions'!$C$35+G14/'Assumptions'!$C$35+H14/'Assumptions'!$C$35</x:f>
        <x:v>0.46083333333333326</x:v>
      </x:c>
      <x:c r="J16" s="74" t="n">
        <x:f>B14/'Assumptions'!$C$35+C14/'Assumptions'!$C$35+D14/'Assumptions'!$C$35+E14/'Assumptions'!$C$35+F14/'Assumptions'!$C$35+G14/'Assumptions'!$C$35+H14/'Assumptions'!$C$35+I14/'Assumptions'!$C$35</x:f>
        <x:v>0.53375</x:v>
      </x:c>
      <x:c r="K16" s="74" t="n">
        <x:f>B14/'Assumptions'!$C$35+C14/'Assumptions'!$C$35+D14/'Assumptions'!$C$35+E14/'Assumptions'!$C$35+F14/'Assumptions'!$C$35+G14/'Assumptions'!$C$35+H14/'Assumptions'!$C$35+I14/'Assumptions'!$C$35+J14/'Assumptions'!$C$35</x:f>
        <x:v>0.6066666666666666</x:v>
      </x:c>
      <x:c r="L16" s="74" t="n">
        <x:f>B14/'Assumptions'!$C$35+C14/'Assumptions'!$C$35+D14/'Assumptions'!$C$35+E14/'Assumptions'!$C$35+F14/'Assumptions'!$C$35+G14/'Assumptions'!$C$35+H14/'Assumptions'!$C$35+I14/'Assumptions'!$C$35+J14/'Assumptions'!$C$35+K14/'Assumptions'!$C$35</x:f>
        <x:v>0.6795833333333332</x:v>
      </x:c>
      <x:c r="M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</x:f>
        <x:v>0.7524999999999998</x:v>
      </x:c>
      <x:c r="N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+M14/'Assumptions'!$C$35</x:f>
        <x:v>0.8254166666666665</x:v>
      </x:c>
      <x:c r="O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+M14/'Assumptions'!$C$35+N14/'Assumptions'!$C$35</x:f>
        <x:v>0.9125925925925924</x:v>
      </x:c>
      <x:c r="P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+M14/'Assumptions'!$C$35+N14/'Assumptions'!$C$35+O14/'Assumptions'!$C$35</x:f>
        <x:v>0.9997685185185183</x:v>
      </x:c>
      <x:c r="Q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+M14/'Assumptions'!$C$35+N14/'Assumptions'!$C$35+O14/'Assumptions'!$C$35+P14/'Assumptions'!$C$35</x:f>
        <x:v>1.0869444444444443</x:v>
      </x:c>
      <x:c r="R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+M14/'Assumptions'!$C$35+N14/'Assumptions'!$C$35+O14/'Assumptions'!$C$35+P14/'Assumptions'!$C$35+Q14/'Assumptions'!$C$35</x:f>
        <x:v>1.1741203703703702</x:v>
      </x:c>
      <x:c r="S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+M14/'Assumptions'!$C$35+N14/'Assumptions'!$C$35+O14/'Assumptions'!$C$35+P14/'Assumptions'!$C$35+Q14/'Assumptions'!$C$35+R14/'Assumptions'!$C$35</x:f>
        <x:v>1.2612962962962961</x:v>
      </x:c>
      <x:c r="T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+M14/'Assumptions'!$C$35+N14/'Assumptions'!$C$35+O14/'Assumptions'!$C$35+P14/'Assumptions'!$C$35+Q14/'Assumptions'!$C$35+R14/'Assumptions'!$C$35+S14/'Assumptions'!$C$35</x:f>
        <x:v>1.348472222222222</x:v>
      </x:c>
      <x:c r="U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+M14/'Assumptions'!$C$35+N14/'Assumptions'!$C$35+O14/'Assumptions'!$C$35+P14/'Assumptions'!$C$35+Q14/'Assumptions'!$C$35+R14/'Assumptions'!$C$35+S14/'Assumptions'!$C$35+T14/'Assumptions'!$C$35</x:f>
        <x:v>1.435648148148148</x:v>
      </x:c>
      <x:c r="V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+M14/'Assumptions'!$C$35+N14/'Assumptions'!$C$35+O14/'Assumptions'!$C$35+P14/'Assumptions'!$C$35+Q14/'Assumptions'!$C$35+R14/'Assumptions'!$C$35+S14/'Assumptions'!$C$35+T14/'Assumptions'!$C$35+U14/'Assumptions'!$C$35</x:f>
        <x:v>1.522824074074074</x:v>
      </x:c>
      <x:c r="W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+M14/'Assumptions'!$C$35+N14/'Assumptions'!$C$35+O14/'Assumptions'!$C$35+P14/'Assumptions'!$C$35+Q14/'Assumptions'!$C$35+R14/'Assumptions'!$C$35+S14/'Assumptions'!$C$35+T14/'Assumptions'!$C$35+U14/'Assumptions'!$C$35+V14/'Assumptions'!$C$35</x:f>
        <x:v>1.6099999999999999</x:v>
      </x:c>
      <x:c r="X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+M14/'Assumptions'!$C$35+N14/'Assumptions'!$C$35+O14/'Assumptions'!$C$35+P14/'Assumptions'!$C$35+Q14/'Assumptions'!$C$35+R14/'Assumptions'!$C$35+S14/'Assumptions'!$C$35+T14/'Assumptions'!$C$35+U14/'Assumptions'!$C$35+V14/'Assumptions'!$C$35+W14/'Assumptions'!$C$35</x:f>
        <x:v>1.6971759259259258</x:v>
      </x:c>
      <x:c r="Y16" s="74" t="n">
        <x:f>B14/'Assumptions'!$C$35+C14/'Assumptions'!$C$35+D14/'Assumptions'!$C$35+E14/'Assumptions'!$C$35+F14/'Assumptions'!$C$35+G14/'Assumptions'!$C$35+H14/'Assumptions'!$C$35+I14/'Assumptions'!$C$35+J14/'Assumptions'!$C$35+K14/'Assumptions'!$C$35+L14/'Assumptions'!$C$35+M14/'Assumptions'!$C$35+N14/'Assumptions'!$C$35+O14/'Assumptions'!$C$35+P14/'Assumptions'!$C$35+Q14/'Assumptions'!$C$35+R14/'Assumptions'!$C$35+S14/'Assumptions'!$C$35+T14/'Assumptions'!$C$35+U14/'Assumptions'!$C$35+V14/'Assumptions'!$C$35+W14/'Assumptions'!$C$35+X14/'Assumptions'!$C$35</x:f>
        <x:v>1.7843518518518517</x:v>
      </x:c>
    </x:row>
    <x:row r="17" ht="15" hidden="0" customHeight="1">
      <x:c r="A17" t="str">
        <x:v>Purchased Asset Net Book Value</x:v>
      </x:c>
      <x:c r="B17" s="74" t="n">
        <x:f>SUM($B$10:B10)</x:f>
        <x:v>0</x:v>
      </x:c>
      <x:c r="C17" s="74" t="n">
        <x:f>SUM($B$10:C10)</x:f>
        <x:v>5</x:v>
      </x:c>
      <x:c r="D17" s="74" t="n">
        <x:f>SUM($B$10:D10)</x:f>
        <x:v>5</x:v>
      </x:c>
      <x:c r="E17" s="74" t="n">
        <x:f>SUM($B$10:E10)</x:f>
        <x:v>5</x:v>
      </x:c>
      <x:c r="F17" s="74" t="n">
        <x:f>SUM($B$10:F10)</x:f>
        <x:v>5</x:v>
      </x:c>
      <x:c r="G17" s="74" t="n">
        <x:f>SUM($B$10:G10)</x:f>
        <x:v>5</x:v>
      </x:c>
      <x:c r="H17" s="74" t="n">
        <x:f>SUM($B$10:H10)</x:f>
        <x:v>8</x:v>
      </x:c>
      <x:c r="I17" s="74" t="n">
        <x:f>SUM($B$10:I10)</x:f>
        <x:v>8</x:v>
      </x:c>
      <x:c r="J17" s="74" t="n">
        <x:f>SUM($B$10:J10)</x:f>
        <x:v>8</x:v>
      </x:c>
      <x:c r="K17" s="74" t="n">
        <x:f>SUM($B$10:K10)</x:f>
        <x:v>8</x:v>
      </x:c>
      <x:c r="L17" s="74" t="n">
        <x:f>SUM($B$10:L10)</x:f>
        <x:v>8</x:v>
      </x:c>
      <x:c r="M17" s="74" t="n">
        <x:f>SUM($B$10:M10)</x:f>
        <x:v>8</x:v>
      </x:c>
      <x:c r="N17" s="74" t="n">
        <x:f>SUM($B$10:N10)</x:f>
        <x:v>10</x:v>
      </x:c>
      <x:c r="O17" s="74" t="n">
        <x:f>SUM($B$10:O10)</x:f>
        <x:v>10</x:v>
      </x:c>
      <x:c r="P17" s="74" t="n">
        <x:f>SUM($B$10:P10)</x:f>
        <x:v>10</x:v>
      </x:c>
      <x:c r="Q17" s="74" t="n">
        <x:f>SUM($B$10:Q10)</x:f>
        <x:v>10</x:v>
      </x:c>
      <x:c r="R17" s="74" t="n">
        <x:f>SUM($B$10:R10)</x:f>
        <x:v>10</x:v>
      </x:c>
      <x:c r="S17" s="74" t="n">
        <x:f>SUM($B$10:S10)</x:f>
        <x:v>10</x:v>
      </x:c>
      <x:c r="T17" s="74" t="n">
        <x:f>SUM($B$10:T10)</x:f>
        <x:v>10</x:v>
      </x:c>
      <x:c r="U17" s="74" t="n">
        <x:f>SUM($B$10:U10)</x:f>
        <x:v>10</x:v>
      </x:c>
      <x:c r="V17" s="74" t="n">
        <x:f>SUM($B$10:V10)</x:f>
        <x:v>10</x:v>
      </x:c>
      <x:c r="W17" s="74" t="n">
        <x:f>SUM($B$10:W10)</x:f>
        <x:v>10</x:v>
      </x:c>
      <x:c r="X17" s="74" t="n">
        <x:f>SUM($B$10:X10)</x:f>
        <x:v>10</x:v>
      </x:c>
      <x:c r="Y17" s="74" t="n">
        <x:f>SUM($B$10:Y10)</x:f>
        <x:v>10</x:v>
      </x:c>
    </x:row>
    <x:row r="18" ht="15" hidden="0" customHeight="1">
      <x:c r="A18" s="73" t="str">
        <x:v>Total Capitalised Tech NBV</x:v>
      </x:c>
      <x:c r="B18" s="75" t="n">
        <x:f>SUM($B$14:B14)-B15+MAX(0,B17)</x:f>
        <x:v>2.1525</x:v>
      </x:c>
      <x:c r="C18" s="75" t="n">
        <x:f>SUM($B$14:C14)-C15+MAX(0,C17)</x:f>
        <x:v>9.245208333333334</x:v>
      </x:c>
      <x:c r="D18" s="75" t="n">
        <x:f>SUM($B$14:D14)-D15+MAX(0,D17)</x:f>
        <x:v>11.278125</x:v>
      </x:c>
      <x:c r="E18" s="75" t="n">
        <x:f>SUM($B$14:E14)-E15+MAX(0,E17)</x:f>
        <x:v>13.601249999999999</x:v>
      </x:c>
      <x:c r="F18" s="75" t="n">
        <x:f>SUM($B$14:F14)-F15+MAX(0,F17)</x:f>
        <x:v>15.85486111111111</x:v>
      </x:c>
      <x:c r="G18" s="75" t="n">
        <x:f>SUM($B$14:G14)-G15+MAX(0,G17)</x:f>
        <x:v>18.038958333333333</x:v>
      </x:c>
      <x:c r="H18" s="75" t="n">
        <x:f>SUM($B$14:H14)-H15+MAX(0,H17)</x:f>
        <x:v>23.276041666666664</x:v>
      </x:c>
      <x:c r="I18" s="75" t="n">
        <x:f>SUM($B$14:I14)-I15+MAX(0,I17)</x:f>
        <x:v>25.44020833333333</x:v>
      </x:c>
      <x:c r="J18" s="75" t="n">
        <x:f>SUM($B$14:J14)-J15+MAX(0,J17)</x:f>
        <x:v>27.53145833333333</x:v>
      </x:c>
      <x:c r="K18" s="75" t="n">
        <x:f>SUM($B$14:K14)-K15+MAX(0,K17)</x:f>
        <x:v>29.549791666666664</x:v>
      </x:c>
      <x:c r="L18" s="75" t="n">
        <x:f>SUM($B$14:L14)-L15+MAX(0,L17)</x:f>
        <x:v>31.49520833333333</x:v>
      </x:c>
      <x:c r="M18" s="75" t="n">
        <x:f>SUM($B$14:M14)-M15+MAX(0,M17)</x:f>
        <x:v>33.36770833333333</x:v>
      </x:c>
      <x:c r="N18" s="75" t="n">
        <x:f>SUM($B$14:N14)-N15+MAX(0,N17)</x:f>
        <x:v>37.680625</x:v>
      </x:c>
      <x:c r="O18" s="75" t="n">
        <x:f>SUM($B$14:O14)-O15+MAX(0,O17)</x:f>
        <x:v>39.90636574074074</x:v>
      </x:c>
      <x:c r="P18" s="75" t="n">
        <x:f>SUM($B$14:P14)-P15+MAX(0,P17)</x:f>
        <x:v>42.04493055555556</x:v>
      </x:c>
      <x:c r="Q18" s="75" t="n">
        <x:f>SUM($B$14:Q14)-Q15+MAX(0,Q17)</x:f>
        <x:v>44.09631944444445</x:v>
      </x:c>
      <x:c r="R18" s="75" t="n">
        <x:f>SUM($B$14:R14)-R15+MAX(0,R17)</x:f>
        <x:v>46.060532407407415</x:v>
      </x:c>
      <x:c r="S18" s="75" t="n">
        <x:f>SUM($B$14:S14)-S15+MAX(0,S17)</x:f>
        <x:v>47.937569444444456</x:v>
      </x:c>
      <x:c r="T18" s="75" t="n">
        <x:f>SUM($B$14:T14)-T15+MAX(0,T17)</x:f>
        <x:v>49.72743055555557</x:v>
      </x:c>
      <x:c r="U18" s="75" t="n">
        <x:f>SUM($B$14:U14)-U15+MAX(0,U17)</x:f>
        <x:v>51.43011574074075</x:v>
      </x:c>
      <x:c r="V18" s="75" t="n">
        <x:f>SUM($B$14:V14)-V15+MAX(0,V17)</x:f>
        <x:v>53.045625000000015</x:v>
      </x:c>
      <x:c r="W18" s="75" t="n">
        <x:f>SUM($B$14:W14)-W15+MAX(0,W17)</x:f>
        <x:v>54.57395833333335</x:v>
      </x:c>
      <x:c r="X18" s="75" t="n">
        <x:f>SUM($B$14:X14)-X15+MAX(0,X17)</x:f>
        <x:v>56.015115740740754</x:v>
      </x:c>
      <x:c r="Y18" s="75" t="n">
        <x:f>SUM($B$14:Y14)-Y15+MAX(0,Y17)</x:f>
        <x:v>57.36909722222224</x:v>
      </x:c>
    </x:row>
    <x:row r="19" ht="15" hidden="0" customHeight="1">
      <x:c r="A19" t="str">
        <x:v>Reference Engineering/Product Payroll</x:v>
      </x:c>
      <x:c r="B19" s="74" t="n">
        <x:f>127.5</x:f>
        <x:v>127.5</x:v>
      </x:c>
      <x:c r="C19" s="74" t="n">
        <x:f>127.5</x:f>
        <x:v>127.5</x:v>
      </x:c>
      <x:c r="D19" s="74" t="n">
        <x:f>127.5</x:f>
        <x:v>127.5</x:v>
      </x:c>
      <x:c r="E19" s="74" t="n">
        <x:f>127.5</x:f>
        <x:v>127.5</x:v>
      </x:c>
      <x:c r="F19" s="74" t="n">
        <x:f>127.5</x:f>
        <x:v>127.5</x:v>
      </x:c>
      <x:c r="G19" s="74" t="n">
        <x:f>127.5</x:f>
        <x:v>127.5</x:v>
      </x:c>
      <x:c r="H19" s="74" t="n">
        <x:f>127.5</x:f>
        <x:v>127.5</x:v>
      </x:c>
      <x:c r="I19" s="74" t="n">
        <x:f>127.5</x:f>
        <x:v>127.5</x:v>
      </x:c>
      <x:c r="J19" s="74" t="n">
        <x:f>127.5</x:f>
        <x:v>127.5</x:v>
      </x:c>
      <x:c r="K19" s="74" t="n">
        <x:f>127.5</x:f>
        <x:v>127.5</x:v>
      </x:c>
      <x:c r="L19" s="74" t="n">
        <x:f>127.5</x:f>
        <x:v>127.5</x:v>
      </x:c>
      <x:c r="M19" s="74" t="n">
        <x:f>127.5</x:f>
        <x:v>127.5</x:v>
      </x:c>
      <x:c r="N19" s="74" t="n">
        <x:f>127.5</x:f>
        <x:v>127.5</x:v>
      </x:c>
      <x:c r="O19" s="74" t="n">
        <x:f>127.5</x:f>
        <x:v>127.5</x:v>
      </x:c>
      <x:c r="P19" s="74" t="n">
        <x:f>127.5</x:f>
        <x:v>127.5</x:v>
      </x:c>
      <x:c r="Q19" s="74" t="n">
        <x:f>127.5</x:f>
        <x:v>127.5</x:v>
      </x:c>
      <x:c r="R19" s="74" t="n">
        <x:f>127.5</x:f>
        <x:v>127.5</x:v>
      </x:c>
      <x:c r="S19" s="74" t="n">
        <x:f>127.5</x:f>
        <x:v>127.5</x:v>
      </x:c>
      <x:c r="T19" s="74" t="n">
        <x:f>127.5</x:f>
        <x:v>127.5</x:v>
      </x:c>
      <x:c r="U19" s="74" t="n">
        <x:f>127.5</x:f>
        <x:v>127.5</x:v>
      </x:c>
      <x:c r="V19" s="74" t="n">
        <x:f>127.5</x:f>
        <x:v>127.5</x:v>
      </x:c>
      <x:c r="W19" s="74" t="n">
        <x:f>127.5</x:f>
        <x:v>127.5</x:v>
      </x:c>
      <x:c r="X19" s="74" t="n">
        <x:f>127.5</x:f>
        <x:v>127.5</x:v>
      </x:c>
      <x:c r="Y19" s="74" t="n">
        <x:f>127.5</x:f>
        <x:v>127.5</x:v>
      </x:c>
    </x:row>
    <x:row r="20" ht="15" hidden="0" customHeight="1">
      <x:c r="A20" t="str">
        <x:v>Reference Infrastructure and AI</x:v>
      </x:c>
      <x:c r="B20" s="74" t="n">
        <x:f>65.0</x:f>
        <x:v>65</x:v>
      </x:c>
      <x:c r="C20" s="74" t="n">
        <x:f>65.0</x:f>
        <x:v>65</x:v>
      </x:c>
      <x:c r="D20" s="74" t="n">
        <x:f>65.0</x:f>
        <x:v>65</x:v>
      </x:c>
      <x:c r="E20" s="74" t="n">
        <x:f>65.0</x:f>
        <x:v>65</x:v>
      </x:c>
      <x:c r="F20" s="74" t="n">
        <x:f>65.0</x:f>
        <x:v>65</x:v>
      </x:c>
      <x:c r="G20" s="74" t="n">
        <x:f>65.0</x:f>
        <x:v>65</x:v>
      </x:c>
      <x:c r="H20" s="74" t="n">
        <x:f>65.0</x:f>
        <x:v>65</x:v>
      </x:c>
      <x:c r="I20" s="74" t="n">
        <x:f>65.0</x:f>
        <x:v>65</x:v>
      </x:c>
      <x:c r="J20" s="74" t="n">
        <x:f>65.0</x:f>
        <x:v>65</x:v>
      </x:c>
      <x:c r="K20" s="74" t="n">
        <x:f>65.0</x:f>
        <x:v>65</x:v>
      </x:c>
      <x:c r="L20" s="74" t="n">
        <x:f>65.0</x:f>
        <x:v>65</x:v>
      </x:c>
      <x:c r="M20" s="74" t="n">
        <x:f>65.0</x:f>
        <x:v>65</x:v>
      </x:c>
      <x:c r="N20" s="74" t="n">
        <x:f>65.0</x:f>
        <x:v>65</x:v>
      </x:c>
      <x:c r="O20" s="74" t="n">
        <x:f>65.0</x:f>
        <x:v>65</x:v>
      </x:c>
      <x:c r="P20" s="74" t="n">
        <x:f>65.0</x:f>
        <x:v>65</x:v>
      </x:c>
      <x:c r="Q20" s="74" t="n">
        <x:f>65.0</x:f>
        <x:v>65</x:v>
      </x:c>
      <x:c r="R20" s="74" t="n">
        <x:f>65.0</x:f>
        <x:v>65</x:v>
      </x:c>
      <x:c r="S20" s="74" t="n">
        <x:f>65.0</x:f>
        <x:v>65</x:v>
      </x:c>
      <x:c r="T20" s="74" t="n">
        <x:f>65.0</x:f>
        <x:v>65</x:v>
      </x:c>
      <x:c r="U20" s="74" t="n">
        <x:f>65.0</x:f>
        <x:v>65</x:v>
      </x:c>
      <x:c r="V20" s="74" t="n">
        <x:f>65.0</x:f>
        <x:v>65</x:v>
      </x:c>
      <x:c r="W20" s="74" t="n">
        <x:f>65.0</x:f>
        <x:v>65</x:v>
      </x:c>
      <x:c r="X20" s="74" t="n">
        <x:f>65.0</x:f>
        <x:v>65</x:v>
      </x:c>
      <x:c r="Y20" s="74" t="n">
        <x:f>65.0</x:f>
        <x:v>65</x:v>
      </x:c>
    </x:row>
    <x:row r="21" ht="15" hidden="0" customHeight="1">
      <x:c r="A21" t="str">
        <x:v>Reference Market Data</x:v>
      </x:c>
      <x:c r="B21" s="74" t="n">
        <x:f>25.0</x:f>
        <x:v>25</x:v>
      </x:c>
      <x:c r="C21" s="74" t="n">
        <x:f>25.0</x:f>
        <x:v>25</x:v>
      </x:c>
      <x:c r="D21" s="74" t="n">
        <x:f>25.0</x:f>
        <x:v>25</x:v>
      </x:c>
      <x:c r="E21" s="74" t="n">
        <x:f>25.0</x:f>
        <x:v>25</x:v>
      </x:c>
      <x:c r="F21" s="74" t="n">
        <x:f>25.0</x:f>
        <x:v>25</x:v>
      </x:c>
      <x:c r="G21" s="74" t="n">
        <x:f>25.0</x:f>
        <x:v>25</x:v>
      </x:c>
      <x:c r="H21" s="74" t="n">
        <x:f>25.0</x:f>
        <x:v>25</x:v>
      </x:c>
      <x:c r="I21" s="74" t="n">
        <x:f>25.0</x:f>
        <x:v>25</x:v>
      </x:c>
      <x:c r="J21" s="74" t="n">
        <x:f>25.0</x:f>
        <x:v>25</x:v>
      </x:c>
      <x:c r="K21" s="74" t="n">
        <x:f>25.0</x:f>
        <x:v>25</x:v>
      </x:c>
      <x:c r="L21" s="74" t="n">
        <x:f>25.0</x:f>
        <x:v>25</x:v>
      </x:c>
      <x:c r="M21" s="74" t="n">
        <x:f>25.0</x:f>
        <x:v>25</x:v>
      </x:c>
      <x:c r="N21" s="74" t="n">
        <x:f>25.0</x:f>
        <x:v>25</x:v>
      </x:c>
      <x:c r="O21" s="74" t="n">
        <x:f>25.0</x:f>
        <x:v>25</x:v>
      </x:c>
      <x:c r="P21" s="74" t="n">
        <x:f>25.0</x:f>
        <x:v>25</x:v>
      </x:c>
      <x:c r="Q21" s="74" t="n">
        <x:f>25.0</x:f>
        <x:v>25</x:v>
      </x:c>
      <x:c r="R21" s="74" t="n">
        <x:f>25.0</x:f>
        <x:v>25</x:v>
      </x:c>
      <x:c r="S21" s="74" t="n">
        <x:f>25.0</x:f>
        <x:v>25</x:v>
      </x:c>
      <x:c r="T21" s="74" t="n">
        <x:f>25.0</x:f>
        <x:v>25</x:v>
      </x:c>
      <x:c r="U21" s="74" t="n">
        <x:f>25.0</x:f>
        <x:v>25</x:v>
      </x:c>
      <x:c r="V21" s="74" t="n">
        <x:f>25.0</x:f>
        <x:v>25</x:v>
      </x:c>
      <x:c r="W21" s="74" t="n">
        <x:f>25.0</x:f>
        <x:v>25</x:v>
      </x:c>
      <x:c r="X21" s="74" t="n">
        <x:f>25.0</x:f>
        <x:v>25</x:v>
      </x:c>
      <x:c r="Y21" s="74" t="n">
        <x:f>25.0</x:f>
        <x:v>25</x:v>
      </x:c>
    </x:row>
    <x:row r="22" ht="15" hidden="0" customHeight="1">
      <x:c r="A22" t="str">
        <x:v>Reference Security and QA</x:v>
      </x:c>
      <x:c r="B22" s="74" t="n">
        <x:f>40.0</x:f>
        <x:v>40</x:v>
      </x:c>
      <x:c r="C22" s="74" t="n">
        <x:f>40.0</x:f>
        <x:v>40</x:v>
      </x:c>
      <x:c r="D22" s="74" t="n">
        <x:f>40.0</x:f>
        <x:v>40</x:v>
      </x:c>
      <x:c r="E22" s="74" t="n">
        <x:f>40.0</x:f>
        <x:v>40</x:v>
      </x:c>
      <x:c r="F22" s="74" t="n">
        <x:f>40.0</x:f>
        <x:v>40</x:v>
      </x:c>
      <x:c r="G22" s="74" t="n">
        <x:f>40.0</x:f>
        <x:v>40</x:v>
      </x:c>
      <x:c r="H22" s="74" t="n">
        <x:f>40.0</x:f>
        <x:v>40</x:v>
      </x:c>
      <x:c r="I22" s="74" t="n">
        <x:f>40.0</x:f>
        <x:v>40</x:v>
      </x:c>
      <x:c r="J22" s="74" t="n">
        <x:f>40.0</x:f>
        <x:v>40</x:v>
      </x:c>
      <x:c r="K22" s="74" t="n">
        <x:f>40.0</x:f>
        <x:v>40</x:v>
      </x:c>
      <x:c r="L22" s="74" t="n">
        <x:f>40.0</x:f>
        <x:v>40</x:v>
      </x:c>
      <x:c r="M22" s="74" t="n">
        <x:f>40.0</x:f>
        <x:v>40</x:v>
      </x:c>
      <x:c r="N22" s="74" t="n">
        <x:f>40.0</x:f>
        <x:v>40</x:v>
      </x:c>
      <x:c r="O22" s="74" t="n">
        <x:f>40.0</x:f>
        <x:v>40</x:v>
      </x:c>
      <x:c r="P22" s="74" t="n">
        <x:f>40.0</x:f>
        <x:v>40</x:v>
      </x:c>
      <x:c r="Q22" s="74" t="n">
        <x:f>40.0</x:f>
        <x:v>40</x:v>
      </x:c>
      <x:c r="R22" s="74" t="n">
        <x:f>40.0</x:f>
        <x:v>40</x:v>
      </x:c>
      <x:c r="S22" s="74" t="n">
        <x:f>40.0</x:f>
        <x:v>40</x:v>
      </x:c>
      <x:c r="T22" s="74" t="n">
        <x:f>40.0</x:f>
        <x:v>40</x:v>
      </x:c>
      <x:c r="U22" s="74" t="n">
        <x:f>40.0</x:f>
        <x:v>40</x:v>
      </x:c>
      <x:c r="V22" s="74" t="n">
        <x:f>40.0</x:f>
        <x:v>40</x:v>
      </x:c>
      <x:c r="W22" s="74" t="n">
        <x:f>40.0</x:f>
        <x:v>40</x:v>
      </x:c>
      <x:c r="X22" s="74" t="n">
        <x:f>40.0</x:f>
        <x:v>40</x:v>
      </x:c>
      <x:c r="Y22" s="74" t="n">
        <x:f>40.0</x:f>
        <x:v>40</x:v>
      </x:c>
    </x:row>
    <x:row r="23" ht="15" hidden="0" customHeight="1">
      <x:c r="A23" t="str">
        <x:v>Variance - Engineering/Product Payroll</x:v>
      </x:c>
      <x:c r="B23" s="74" t="n">
        <x:f>B19-SUM($B$6:$Y$6)</x:f>
        <x:v>2.842170943040401e-14</x:v>
      </x:c>
      <x:c r="C23" s="74" t="n">
        <x:f>C19-SUM($B$6:$Y$6)</x:f>
        <x:v>2.842170943040401e-14</x:v>
      </x:c>
      <x:c r="D23" s="74" t="n">
        <x:f>D19-SUM($B$6:$Y$6)</x:f>
        <x:v>2.842170943040401e-14</x:v>
      </x:c>
      <x:c r="E23" s="74" t="n">
        <x:f>E19-SUM($B$6:$Y$6)</x:f>
        <x:v>2.842170943040401e-14</x:v>
      </x:c>
      <x:c r="F23" s="74" t="n">
        <x:f>F19-SUM($B$6:$Y$6)</x:f>
        <x:v>2.842170943040401e-14</x:v>
      </x:c>
      <x:c r="G23" s="74" t="n">
        <x:f>G19-SUM($B$6:$Y$6)</x:f>
        <x:v>2.842170943040401e-14</x:v>
      </x:c>
      <x:c r="H23" s="74" t="n">
        <x:f>H19-SUM($B$6:$Y$6)</x:f>
        <x:v>2.842170943040401e-14</x:v>
      </x:c>
      <x:c r="I23" s="74" t="n">
        <x:f>I19-SUM($B$6:$Y$6)</x:f>
        <x:v>2.842170943040401e-14</x:v>
      </x:c>
      <x:c r="J23" s="74" t="n">
        <x:f>J19-SUM($B$6:$Y$6)</x:f>
        <x:v>2.842170943040401e-14</x:v>
      </x:c>
      <x:c r="K23" s="74" t="n">
        <x:f>K19-SUM($B$6:$Y$6)</x:f>
        <x:v>2.842170943040401e-14</x:v>
      </x:c>
      <x:c r="L23" s="74" t="n">
        <x:f>L19-SUM($B$6:$Y$6)</x:f>
        <x:v>2.842170943040401e-14</x:v>
      </x:c>
      <x:c r="M23" s="74" t="n">
        <x:f>M19-SUM($B$6:$Y$6)</x:f>
        <x:v>2.842170943040401e-14</x:v>
      </x:c>
      <x:c r="N23" s="74" t="n">
        <x:f>N19-SUM($B$6:$Y$6)</x:f>
        <x:v>2.842170943040401e-14</x:v>
      </x:c>
      <x:c r="O23" s="74" t="n">
        <x:f>O19-SUM($B$6:$Y$6)</x:f>
        <x:v>2.842170943040401e-14</x:v>
      </x:c>
      <x:c r="P23" s="74" t="n">
        <x:f>P19-SUM($B$6:$Y$6)</x:f>
        <x:v>2.842170943040401e-14</x:v>
      </x:c>
      <x:c r="Q23" s="74" t="n">
        <x:f>Q19-SUM($B$6:$Y$6)</x:f>
        <x:v>2.842170943040401e-14</x:v>
      </x:c>
      <x:c r="R23" s="74" t="n">
        <x:f>R19-SUM($B$6:$Y$6)</x:f>
        <x:v>2.842170943040401e-14</x:v>
      </x:c>
      <x:c r="S23" s="74" t="n">
        <x:f>S19-SUM($B$6:$Y$6)</x:f>
        <x:v>2.842170943040401e-14</x:v>
      </x:c>
      <x:c r="T23" s="74" t="n">
        <x:f>T19-SUM($B$6:$Y$6)</x:f>
        <x:v>2.842170943040401e-14</x:v>
      </x:c>
      <x:c r="U23" s="74" t="n">
        <x:f>U19-SUM($B$6:$Y$6)</x:f>
        <x:v>2.842170943040401e-14</x:v>
      </x:c>
      <x:c r="V23" s="74" t="n">
        <x:f>V19-SUM($B$6:$Y$6)</x:f>
        <x:v>2.842170943040401e-14</x:v>
      </x:c>
      <x:c r="W23" s="74" t="n">
        <x:f>W19-SUM($B$6:$Y$6)</x:f>
        <x:v>2.842170943040401e-14</x:v>
      </x:c>
      <x:c r="X23" s="74" t="n">
        <x:f>X19-SUM($B$6:$Y$6)</x:f>
        <x:v>2.842170943040401e-14</x:v>
      </x:c>
      <x:c r="Y23" s="74" t="n">
        <x:f>Y19-SUM($B$6:$Y$6)</x:f>
        <x:v>2.842170943040401e-14</x:v>
      </x:c>
    </x:row>
    <x:row r="24" ht="15" hidden="0" customHeight="1">
      <x:c r="A24" t="str">
        <x:v>Variance - Infrastructure and AI</x:v>
      </x:c>
      <x:c r="B24" s="74" t="n">
        <x:f>B20-SUM($B$7:$Y$7)</x:f>
        <x:v>1.4210854715202004e-14</x:v>
      </x:c>
      <x:c r="C24" s="74" t="n">
        <x:f>C20-SUM($B$7:$Y$7)</x:f>
        <x:v>1.4210854715202004e-14</x:v>
      </x:c>
      <x:c r="D24" s="74" t="n">
        <x:f>D20-SUM($B$7:$Y$7)</x:f>
        <x:v>1.4210854715202004e-14</x:v>
      </x:c>
      <x:c r="E24" s="74" t="n">
        <x:f>E20-SUM($B$7:$Y$7)</x:f>
        <x:v>1.4210854715202004e-14</x:v>
      </x:c>
      <x:c r="F24" s="74" t="n">
        <x:f>F20-SUM($B$7:$Y$7)</x:f>
        <x:v>1.4210854715202004e-14</x:v>
      </x:c>
      <x:c r="G24" s="74" t="n">
        <x:f>G20-SUM($B$7:$Y$7)</x:f>
        <x:v>1.4210854715202004e-14</x:v>
      </x:c>
      <x:c r="H24" s="74" t="n">
        <x:f>H20-SUM($B$7:$Y$7)</x:f>
        <x:v>1.4210854715202004e-14</x:v>
      </x:c>
      <x:c r="I24" s="74" t="n">
        <x:f>I20-SUM($B$7:$Y$7)</x:f>
        <x:v>1.4210854715202004e-14</x:v>
      </x:c>
      <x:c r="J24" s="74" t="n">
        <x:f>J20-SUM($B$7:$Y$7)</x:f>
        <x:v>1.4210854715202004e-14</x:v>
      </x:c>
      <x:c r="K24" s="74" t="n">
        <x:f>K20-SUM($B$7:$Y$7)</x:f>
        <x:v>1.4210854715202004e-14</x:v>
      </x:c>
      <x:c r="L24" s="74" t="n">
        <x:f>L20-SUM($B$7:$Y$7)</x:f>
        <x:v>1.4210854715202004e-14</x:v>
      </x:c>
      <x:c r="M24" s="74" t="n">
        <x:f>M20-SUM($B$7:$Y$7)</x:f>
        <x:v>1.4210854715202004e-14</x:v>
      </x:c>
      <x:c r="N24" s="74" t="n">
        <x:f>N20-SUM($B$7:$Y$7)</x:f>
        <x:v>1.4210854715202004e-14</x:v>
      </x:c>
      <x:c r="O24" s="74" t="n">
        <x:f>O20-SUM($B$7:$Y$7)</x:f>
        <x:v>1.4210854715202004e-14</x:v>
      </x:c>
      <x:c r="P24" s="74" t="n">
        <x:f>P20-SUM($B$7:$Y$7)</x:f>
        <x:v>1.4210854715202004e-14</x:v>
      </x:c>
      <x:c r="Q24" s="74" t="n">
        <x:f>Q20-SUM($B$7:$Y$7)</x:f>
        <x:v>1.4210854715202004e-14</x:v>
      </x:c>
      <x:c r="R24" s="74" t="n">
        <x:f>R20-SUM($B$7:$Y$7)</x:f>
        <x:v>1.4210854715202004e-14</x:v>
      </x:c>
      <x:c r="S24" s="74" t="n">
        <x:f>S20-SUM($B$7:$Y$7)</x:f>
        <x:v>1.4210854715202004e-14</x:v>
      </x:c>
      <x:c r="T24" s="74" t="n">
        <x:f>T20-SUM($B$7:$Y$7)</x:f>
        <x:v>1.4210854715202004e-14</x:v>
      </x:c>
      <x:c r="U24" s="74" t="n">
        <x:f>U20-SUM($B$7:$Y$7)</x:f>
        <x:v>1.4210854715202004e-14</x:v>
      </x:c>
      <x:c r="V24" s="74" t="n">
        <x:f>V20-SUM($B$7:$Y$7)</x:f>
        <x:v>1.4210854715202004e-14</x:v>
      </x:c>
      <x:c r="W24" s="74" t="n">
        <x:f>W20-SUM($B$7:$Y$7)</x:f>
        <x:v>1.4210854715202004e-14</x:v>
      </x:c>
      <x:c r="X24" s="74" t="n">
        <x:f>X20-SUM($B$7:$Y$7)</x:f>
        <x:v>1.4210854715202004e-14</x:v>
      </x:c>
      <x:c r="Y24" s="74" t="n">
        <x:f>Y20-SUM($B$7:$Y$7)</x:f>
        <x:v>1.4210854715202004e-14</x:v>
      </x:c>
    </x:row>
    <x:row r="25" ht="15" hidden="0" customHeight="1">
      <x:c r="A25" t="str">
        <x:v>Variance - Market Data</x:v>
      </x:c>
      <x:c r="B25" s="74" t="n">
        <x:f>B21-SUM($B$8:$Y$8)</x:f>
        <x:v>0</x:v>
      </x:c>
      <x:c r="C25" s="74" t="n">
        <x:f>C21-SUM($B$8:$Y$8)</x:f>
        <x:v>0</x:v>
      </x:c>
      <x:c r="D25" s="74" t="n">
        <x:f>D21-SUM($B$8:$Y$8)</x:f>
        <x:v>0</x:v>
      </x:c>
      <x:c r="E25" s="74" t="n">
        <x:f>E21-SUM($B$8:$Y$8)</x:f>
        <x:v>0</x:v>
      </x:c>
      <x:c r="F25" s="74" t="n">
        <x:f>F21-SUM($B$8:$Y$8)</x:f>
        <x:v>0</x:v>
      </x:c>
      <x:c r="G25" s="74" t="n">
        <x:f>G21-SUM($B$8:$Y$8)</x:f>
        <x:v>0</x:v>
      </x:c>
      <x:c r="H25" s="74" t="n">
        <x:f>H21-SUM($B$8:$Y$8)</x:f>
        <x:v>0</x:v>
      </x:c>
      <x:c r="I25" s="74" t="n">
        <x:f>I21-SUM($B$8:$Y$8)</x:f>
        <x:v>0</x:v>
      </x:c>
      <x:c r="J25" s="74" t="n">
        <x:f>J21-SUM($B$8:$Y$8)</x:f>
        <x:v>0</x:v>
      </x:c>
      <x:c r="K25" s="74" t="n">
        <x:f>K21-SUM($B$8:$Y$8)</x:f>
        <x:v>0</x:v>
      </x:c>
      <x:c r="L25" s="74" t="n">
        <x:f>L21-SUM($B$8:$Y$8)</x:f>
        <x:v>0</x:v>
      </x:c>
      <x:c r="M25" s="74" t="n">
        <x:f>M21-SUM($B$8:$Y$8)</x:f>
        <x:v>0</x:v>
      </x:c>
      <x:c r="N25" s="74" t="n">
        <x:f>N21-SUM($B$8:$Y$8)</x:f>
        <x:v>0</x:v>
      </x:c>
      <x:c r="O25" s="74" t="n">
        <x:f>O21-SUM($B$8:$Y$8)</x:f>
        <x:v>0</x:v>
      </x:c>
      <x:c r="P25" s="74" t="n">
        <x:f>P21-SUM($B$8:$Y$8)</x:f>
        <x:v>0</x:v>
      </x:c>
      <x:c r="Q25" s="74" t="n">
        <x:f>Q21-SUM($B$8:$Y$8)</x:f>
        <x:v>0</x:v>
      </x:c>
      <x:c r="R25" s="74" t="n">
        <x:f>R21-SUM($B$8:$Y$8)</x:f>
        <x:v>0</x:v>
      </x:c>
      <x:c r="S25" s="74" t="n">
        <x:f>S21-SUM($B$8:$Y$8)</x:f>
        <x:v>0</x:v>
      </x:c>
      <x:c r="T25" s="74" t="n">
        <x:f>T21-SUM($B$8:$Y$8)</x:f>
        <x:v>0</x:v>
      </x:c>
      <x:c r="U25" s="74" t="n">
        <x:f>U21-SUM($B$8:$Y$8)</x:f>
        <x:v>0</x:v>
      </x:c>
      <x:c r="V25" s="74" t="n">
        <x:f>V21-SUM($B$8:$Y$8)</x:f>
        <x:v>0</x:v>
      </x:c>
      <x:c r="W25" s="74" t="n">
        <x:f>W21-SUM($B$8:$Y$8)</x:f>
        <x:v>0</x:v>
      </x:c>
      <x:c r="X25" s="74" t="n">
        <x:f>X21-SUM($B$8:$Y$8)</x:f>
        <x:v>0</x:v>
      </x:c>
      <x:c r="Y25" s="74" t="n">
        <x:f>Y21-SUM($B$8:$Y$8)</x:f>
        <x:v>0</x:v>
      </x:c>
    </x:row>
    <x:row r="26" ht="15" hidden="0" customHeight="1">
      <x:c r="A26" t="str">
        <x:v>Variance - Security and QA</x:v>
      </x:c>
      <x:c r="B26" s="74" t="n">
        <x:f>B22-SUM($B$9:$Y$9)</x:f>
        <x:v>0</x:v>
      </x:c>
      <x:c r="C26" s="74" t="n">
        <x:f>C22-SUM($B$9:$Y$9)</x:f>
        <x:v>0</x:v>
      </x:c>
      <x:c r="D26" s="74" t="n">
        <x:f>D22-SUM($B$9:$Y$9)</x:f>
        <x:v>0</x:v>
      </x:c>
      <x:c r="E26" s="74" t="n">
        <x:f>E22-SUM($B$9:$Y$9)</x:f>
        <x:v>0</x:v>
      </x:c>
      <x:c r="F26" s="74" t="n">
        <x:f>F22-SUM($B$9:$Y$9)</x:f>
        <x:v>0</x:v>
      </x:c>
      <x:c r="G26" s="74" t="n">
        <x:f>G22-SUM($B$9:$Y$9)</x:f>
        <x:v>0</x:v>
      </x:c>
      <x:c r="H26" s="74" t="n">
        <x:f>H22-SUM($B$9:$Y$9)</x:f>
        <x:v>0</x:v>
      </x:c>
      <x:c r="I26" s="74" t="n">
        <x:f>I22-SUM($B$9:$Y$9)</x:f>
        <x:v>0</x:v>
      </x:c>
      <x:c r="J26" s="74" t="n">
        <x:f>J22-SUM($B$9:$Y$9)</x:f>
        <x:v>0</x:v>
      </x:c>
      <x:c r="K26" s="74" t="n">
        <x:f>K22-SUM($B$9:$Y$9)</x:f>
        <x:v>0</x:v>
      </x:c>
      <x:c r="L26" s="74" t="n">
        <x:f>L22-SUM($B$9:$Y$9)</x:f>
        <x:v>0</x:v>
      </x:c>
      <x:c r="M26" s="74" t="n">
        <x:f>M22-SUM($B$9:$Y$9)</x:f>
        <x:v>0</x:v>
      </x:c>
      <x:c r="N26" s="74" t="n">
        <x:f>N22-SUM($B$9:$Y$9)</x:f>
        <x:v>0</x:v>
      </x:c>
      <x:c r="O26" s="74" t="n">
        <x:f>O22-SUM($B$9:$Y$9)</x:f>
        <x:v>0</x:v>
      </x:c>
      <x:c r="P26" s="74" t="n">
        <x:f>P22-SUM($B$9:$Y$9)</x:f>
        <x:v>0</x:v>
      </x:c>
      <x:c r="Q26" s="74" t="n">
        <x:f>Q22-SUM($B$9:$Y$9)</x:f>
        <x:v>0</x:v>
      </x:c>
      <x:c r="R26" s="74" t="n">
        <x:f>R22-SUM($B$9:$Y$9)</x:f>
        <x:v>0</x:v>
      </x:c>
      <x:c r="S26" s="74" t="n">
        <x:f>S22-SUM($B$9:$Y$9)</x:f>
        <x:v>0</x:v>
      </x:c>
      <x:c r="T26" s="74" t="n">
        <x:f>T22-SUM($B$9:$Y$9)</x:f>
        <x:v>0</x:v>
      </x:c>
      <x:c r="U26" s="74" t="n">
        <x:f>U22-SUM($B$9:$Y$9)</x:f>
        <x:v>0</x:v>
      </x:c>
      <x:c r="V26" s="74" t="n">
        <x:f>V22-SUM($B$9:$Y$9)</x:f>
        <x:v>0</x:v>
      </x:c>
      <x:c r="W26" s="74" t="n">
        <x:f>W22-SUM($B$9:$Y$9)</x:f>
        <x:v>0</x:v>
      </x:c>
      <x:c r="X26" s="74" t="n">
        <x:f>X22-SUM($B$9:$Y$9)</x:f>
        <x:v>0</x:v>
      </x:c>
      <x:c r="Y26" s="74" t="n">
        <x:f>Y22-SUM($B$9:$Y$9)</x:f>
        <x:v>0</x:v>
      </x:c>
    </x:row>
  </x:sheetData>
  <x:mergeCells>
    <x:mergeCell ref="A1:H1"/>
    <x:mergeCell ref="A2:H2"/>
    <x:mergeCell ref="A5:Y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18.75" hidden="0" customWidth="1"/>
    <x:col min="3" max="3" width="18.75" hidden="0" customWidth="1"/>
    <x:col min="4" max="4" width="18.75" hidden="0" customWidth="1"/>
    <x:col min="5" max="5" width="18.75" hidden="0" customWidth="1"/>
    <x:col min="6" max="6" width="18.75" hidden="0" customWidth="1"/>
    <x:col min="7" max="7" width="18.75" hidden="0" customWidth="1"/>
    <x:col min="8" max="8" width="18.75" hidden="0" customWidth="1"/>
    <x:col min="9" max="9" width="18.75" hidden="0" customWidth="1"/>
    <x:col min="10" max="10" width="18.75" hidden="0" customWidth="1"/>
    <x:col min="11" max="11" width="18.75" hidden="0" customWidth="1"/>
    <x:col min="12" max="12" width="18.75" hidden="0" customWidth="1"/>
    <x:col min="13" max="13" width="18.75" hidden="0" customWidth="1"/>
    <x:col min="14" max="14" width="18.75" hidden="0" customWidth="1"/>
    <x:col min="15" max="15" width="18.75" hidden="0" customWidth="1"/>
    <x:col min="16" max="16" width="18.75" hidden="0" customWidth="1"/>
    <x:col min="17" max="17" width="18.75" hidden="0" customWidth="1"/>
    <x:col min="18" max="18" width="18.75" hidden="0" customWidth="1"/>
    <x:col min="19" max="19" width="18.75" hidden="0" customWidth="1"/>
    <x:col min="20" max="20" width="18.75" hidden="0" customWidth="1"/>
    <x:col min="21" max="21" width="18.75" hidden="0" customWidth="1"/>
    <x:col min="22" max="22" width="18.75" hidden="0" customWidth="1"/>
    <x:col min="23" max="23" width="18.75" hidden="0" customWidth="1"/>
    <x:col min="24" max="24" width="18.75" hidden="0" customWidth="1"/>
    <x:col min="25" max="25" width="18.75" hidden="0" customWidth="1"/>
  </x:cols>
  <x:sheetData>
    <x:row r="1" ht="19.200000762939453" hidden="0" customHeight="1">
      <x:c r="A1" s="2" t="str">
        <x:v>Compliance &amp; Regulatory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15" hidden="0" customHeight="1">
      <x:c r="A2" s="4" t="str">
        <x:v>Compliance cash programme with refundable deposits separated from P&amp;L expense.</x:v>
      </x:c>
    </x:row>
    <x:row r="3"/>
    <x:row r="4" ht="15" hidden="0" customHeight="1">
      <x:c r="A4" s="10" t="str">
        <x:v>Metric</x:v>
      </x:c>
      <x:c r="B4" s="11" t="str">
        <x:v>M1</x:v>
      </x:c>
      <x:c r="C4" s="11" t="str">
        <x:v>M2</x:v>
      </x:c>
      <x:c r="D4" s="11" t="str">
        <x:v>M3</x:v>
      </x:c>
      <x:c r="E4" s="11" t="str">
        <x:v>M4</x:v>
      </x:c>
      <x:c r="F4" s="11" t="str">
        <x:v>M5</x:v>
      </x:c>
      <x:c r="G4" s="11" t="str">
        <x:v>M6</x:v>
      </x:c>
      <x:c r="H4" s="11" t="str">
        <x:v>M7</x:v>
      </x:c>
      <x:c r="I4" s="11" t="str">
        <x:v>M8</x:v>
      </x:c>
      <x:c r="J4" s="11" t="str">
        <x:v>M9</x:v>
      </x:c>
      <x:c r="K4" s="11" t="str">
        <x:v>M10</x:v>
      </x:c>
      <x:c r="L4" s="11" t="str">
        <x:v>M11</x:v>
      </x:c>
      <x:c r="M4" s="11" t="str">
        <x:v>M12</x:v>
      </x:c>
      <x:c r="N4" s="11" t="str">
        <x:v>M13</x:v>
      </x:c>
      <x:c r="O4" s="11" t="str">
        <x:v>M14</x:v>
      </x:c>
      <x:c r="P4" s="11" t="str">
        <x:v>M15</x:v>
      </x:c>
      <x:c r="Q4" s="11" t="str">
        <x:v>M16</x:v>
      </x:c>
      <x:c r="R4" s="11" t="str">
        <x:v>M17</x:v>
      </x:c>
      <x:c r="S4" s="11" t="str">
        <x:v>M18</x:v>
      </x:c>
      <x:c r="T4" s="11" t="str">
        <x:v>M19</x:v>
      </x:c>
      <x:c r="U4" s="11" t="str">
        <x:v>M20</x:v>
      </x:c>
      <x:c r="V4" s="11" t="str">
        <x:v>M21</x:v>
      </x:c>
      <x:c r="W4" s="11" t="str">
        <x:v>M22</x:v>
      </x:c>
      <x:c r="X4" s="11" t="str">
        <x:v>M23</x:v>
      </x:c>
      <x:c r="Y4" s="12" t="str">
        <x:v>M24</x:v>
      </x:c>
    </x:row>
    <x:row r="5" ht="15" hidden="0" customHeight="1">
      <x:c r="A5" s="45" t="str">
        <x:v>Compliance Programme</x:v>
      </x:c>
      <x:c r="B5" s="46" t="str">
        <x:v>Compliance Programme</x:v>
      </x:c>
      <x:c r="C5" s="46" t="str">
        <x:v>Compliance Programme</x:v>
      </x:c>
      <x:c r="D5" s="46" t="str">
        <x:v>Compliance Programme</x:v>
      </x:c>
      <x:c r="E5" s="46" t="str">
        <x:v>Compliance Programme</x:v>
      </x:c>
      <x:c r="F5" s="46" t="str">
        <x:v>Compliance Programme</x:v>
      </x:c>
      <x:c r="G5" s="46" t="str">
        <x:v>Compliance Programme</x:v>
      </x:c>
      <x:c r="H5" s="46" t="str">
        <x:v>Compliance Programme</x:v>
      </x:c>
      <x:c r="I5" s="46" t="str">
        <x:v>Compliance Programme</x:v>
      </x:c>
      <x:c r="J5" s="46" t="str">
        <x:v>Compliance Programme</x:v>
      </x:c>
      <x:c r="K5" s="46" t="str">
        <x:v>Compliance Programme</x:v>
      </x:c>
      <x:c r="L5" s="46" t="str">
        <x:v>Compliance Programme</x:v>
      </x:c>
      <x:c r="M5" s="46" t="str">
        <x:v>Compliance Programme</x:v>
      </x:c>
      <x:c r="N5" s="46" t="str">
        <x:v>Compliance Programme</x:v>
      </x:c>
      <x:c r="O5" s="46" t="str">
        <x:v>Compliance Programme</x:v>
      </x:c>
      <x:c r="P5" s="46" t="str">
        <x:v>Compliance Programme</x:v>
      </x:c>
      <x:c r="Q5" s="46" t="str">
        <x:v>Compliance Programme</x:v>
      </x:c>
      <x:c r="R5" s="46" t="str">
        <x:v>Compliance Programme</x:v>
      </x:c>
      <x:c r="S5" s="46" t="str">
        <x:v>Compliance Programme</x:v>
      </x:c>
      <x:c r="T5" s="46" t="str">
        <x:v>Compliance Programme</x:v>
      </x:c>
      <x:c r="U5" s="46" t="str">
        <x:v>Compliance Programme</x:v>
      </x:c>
      <x:c r="V5" s="46" t="str">
        <x:v>Compliance Programme</x:v>
      </x:c>
      <x:c r="W5" s="46" t="str">
        <x:v>Compliance Programme</x:v>
      </x:c>
      <x:c r="X5" s="46" t="str">
        <x:v>Compliance Programme</x:v>
      </x:c>
      <x:c r="Y5" s="47" t="str">
        <x:v>Compliance Programme</x:v>
      </x:c>
    </x:row>
    <x:row r="6" ht="15" hidden="0" customHeight="1">
      <x:c r="A6" t="str">
        <x:v>Legal/regulatory structuring</x:v>
      </x:c>
      <x:c r="B6" s="74" t="n">
        <x:f>IF(COLUMN()-1&lt;=3,8,0)</x:f>
        <x:v>8</x:v>
      </x:c>
      <x:c r="C6" s="74" t="n">
        <x:f>IF(COLUMN()-1&lt;=3,8,0)</x:f>
        <x:v>8</x:v>
      </x:c>
      <x:c r="D6" s="74" t="n">
        <x:f>IF(COLUMN()-1&lt;=3,8,0)</x:f>
        <x:v>8</x:v>
      </x:c>
      <x:c r="E6" s="74" t="n">
        <x:f>IF(COLUMN()-1&lt;=3,8,0)</x:f>
        <x:v>0</x:v>
      </x:c>
      <x:c r="F6" s="74" t="n">
        <x:f>IF(COLUMN()-1&lt;=3,8,0)</x:f>
        <x:v>0</x:v>
      </x:c>
      <x:c r="G6" s="74" t="n">
        <x:f>IF(COLUMN()-1&lt;=3,8,0)</x:f>
        <x:v>0</x:v>
      </x:c>
      <x:c r="H6" s="74" t="n">
        <x:f>IF(COLUMN()-1&lt;=3,8,0)</x:f>
        <x:v>0</x:v>
      </x:c>
      <x:c r="I6" s="74" t="n">
        <x:f>IF(COLUMN()-1&lt;=3,8,0)</x:f>
        <x:v>0</x:v>
      </x:c>
      <x:c r="J6" s="74" t="n">
        <x:f>IF(COLUMN()-1&lt;=3,8,0)</x:f>
        <x:v>0</x:v>
      </x:c>
      <x:c r="K6" s="74" t="n">
        <x:f>IF(COLUMN()-1&lt;=3,8,0)</x:f>
        <x:v>0</x:v>
      </x:c>
      <x:c r="L6" s="74" t="n">
        <x:f>IF(COLUMN()-1&lt;=3,8,0)</x:f>
        <x:v>0</x:v>
      </x:c>
      <x:c r="M6" s="74" t="n">
        <x:f>IF(COLUMN()-1&lt;=3,8,0)</x:f>
        <x:v>0</x:v>
      </x:c>
      <x:c r="N6" s="74" t="n">
        <x:f>IF(COLUMN()-1&lt;=3,8,0)</x:f>
        <x:v>0</x:v>
      </x:c>
      <x:c r="O6" s="74" t="n">
        <x:f>IF(COLUMN()-1&lt;=3,8,0)</x:f>
        <x:v>0</x:v>
      </x:c>
      <x:c r="P6" s="74" t="n">
        <x:f>IF(COLUMN()-1&lt;=3,8,0)</x:f>
        <x:v>0</x:v>
      </x:c>
      <x:c r="Q6" s="74" t="n">
        <x:f>IF(COLUMN()-1&lt;=3,8,0)</x:f>
        <x:v>0</x:v>
      </x:c>
      <x:c r="R6" s="74" t="n">
        <x:f>IF(COLUMN()-1&lt;=3,8,0)</x:f>
        <x:v>0</x:v>
      </x:c>
      <x:c r="S6" s="74" t="n">
        <x:f>IF(COLUMN()-1&lt;=3,8,0)</x:f>
        <x:v>0</x:v>
      </x:c>
      <x:c r="T6" s="74" t="n">
        <x:f>IF(COLUMN()-1&lt;=3,8,0)</x:f>
        <x:v>0</x:v>
      </x:c>
      <x:c r="U6" s="74" t="n">
        <x:f>IF(COLUMN()-1&lt;=3,8,0)</x:f>
        <x:v>0</x:v>
      </x:c>
      <x:c r="V6" s="74" t="n">
        <x:f>IF(COLUMN()-1&lt;=3,8,0)</x:f>
        <x:v>0</x:v>
      </x:c>
      <x:c r="W6" s="74" t="n">
        <x:f>IF(COLUMN()-1&lt;=3,8,0)</x:f>
        <x:v>0</x:v>
      </x:c>
      <x:c r="X6" s="74" t="n">
        <x:f>IF(COLUMN()-1&lt;=3,8,0)</x:f>
        <x:v>0</x:v>
      </x:c>
      <x:c r="Y6" s="74" t="n">
        <x:f>IF(COLUMN()-1&lt;=3,8,0)</x:f>
        <x:v>0</x:v>
      </x:c>
    </x:row>
    <x:row r="7" ht="15" hidden="0" customHeight="1">
      <x:c r="A7" t="str">
        <x:v>Compliance Lead / Principal Officer</x:v>
      </x:c>
      <x:c r="B7" s="74" t="n">
        <x:f>0.6</x:f>
        <x:v>0.6</x:v>
      </x:c>
      <x:c r="C7" s="74" t="n">
        <x:f>0.6</x:f>
        <x:v>0.6</x:v>
      </x:c>
      <x:c r="D7" s="74" t="n">
        <x:f>0.6</x:f>
        <x:v>0.6</x:v>
      </x:c>
      <x:c r="E7" s="74" t="n">
        <x:f>0.6</x:f>
        <x:v>0.6</x:v>
      </x:c>
      <x:c r="F7" s="74" t="n">
        <x:f>0.6</x:f>
        <x:v>0.6</x:v>
      </x:c>
      <x:c r="G7" s="74" t="n">
        <x:f>0.6</x:f>
        <x:v>0.6</x:v>
      </x:c>
      <x:c r="H7" s="74" t="n">
        <x:f>0.6</x:f>
        <x:v>0.6</x:v>
      </x:c>
      <x:c r="I7" s="74" t="n">
        <x:f>0.6</x:f>
        <x:v>0.6</x:v>
      </x:c>
      <x:c r="J7" s="74" t="n">
        <x:f>0.6</x:f>
        <x:v>0.6</x:v>
      </x:c>
      <x:c r="K7" s="74" t="n">
        <x:f>0.6</x:f>
        <x:v>0.6</x:v>
      </x:c>
      <x:c r="L7" s="74" t="n">
        <x:f>0.6</x:f>
        <x:v>0.6</x:v>
      </x:c>
      <x:c r="M7" s="74" t="n">
        <x:f>0.6</x:f>
        <x:v>0.6</x:v>
      </x:c>
      <x:c r="N7" s="74" t="n">
        <x:f>0.6</x:f>
        <x:v>0.6</x:v>
      </x:c>
      <x:c r="O7" s="74" t="n">
        <x:f>0.6</x:f>
        <x:v>0.6</x:v>
      </x:c>
      <x:c r="P7" s="74" t="n">
        <x:f>0.6</x:f>
        <x:v>0.6</x:v>
      </x:c>
      <x:c r="Q7" s="74" t="n">
        <x:f>0.6</x:f>
        <x:v>0.6</x:v>
      </x:c>
      <x:c r="R7" s="74" t="n">
        <x:f>0.6</x:f>
        <x:v>0.6</x:v>
      </x:c>
      <x:c r="S7" s="74" t="n">
        <x:f>0.6</x:f>
        <x:v>0.6</x:v>
      </x:c>
      <x:c r="T7" s="74" t="n">
        <x:f>0.6</x:f>
        <x:v>0.6</x:v>
      </x:c>
      <x:c r="U7" s="74" t="n">
        <x:f>0.6</x:f>
        <x:v>0.6</x:v>
      </x:c>
      <x:c r="V7" s="74" t="n">
        <x:f>0.6</x:f>
        <x:v>0.6</x:v>
      </x:c>
      <x:c r="W7" s="74" t="n">
        <x:f>0.6</x:f>
        <x:v>0.6</x:v>
      </x:c>
      <x:c r="X7" s="74" t="n">
        <x:f>0.6</x:f>
        <x:v>0.6</x:v>
      </x:c>
      <x:c r="Y7" s="74" t="n">
        <x:f>0.6</x:f>
        <x:v>0.6</x:v>
      </x:c>
    </x:row>
    <x:row r="8" ht="15" hidden="0" customHeight="1">
      <x:c r="A8" t="str">
        <x:v>Annual Compliance Audit</x:v>
      </x:c>
      <x:c r="B8" s="74" t="n">
        <x:f>IF(OR(COLUMN()-1=12,COLUMN()-1=24),1,0)</x:f>
        <x:v>0</x:v>
      </x:c>
      <x:c r="C8" s="74" t="n">
        <x:f>IF(OR(COLUMN()-1=12,COLUMN()-1=24),1,0)</x:f>
        <x:v>0</x:v>
      </x:c>
      <x:c r="D8" s="74" t="n">
        <x:f>IF(OR(COLUMN()-1=12,COLUMN()-1=24),1,0)</x:f>
        <x:v>0</x:v>
      </x:c>
      <x:c r="E8" s="74" t="n">
        <x:f>IF(OR(COLUMN()-1=12,COLUMN()-1=24),1,0)</x:f>
        <x:v>0</x:v>
      </x:c>
      <x:c r="F8" s="74" t="n">
        <x:f>IF(OR(COLUMN()-1=12,COLUMN()-1=24),1,0)</x:f>
        <x:v>0</x:v>
      </x:c>
      <x:c r="G8" s="74" t="n">
        <x:f>IF(OR(COLUMN()-1=12,COLUMN()-1=24),1,0)</x:f>
        <x:v>0</x:v>
      </x:c>
      <x:c r="H8" s="74" t="n">
        <x:f>IF(OR(COLUMN()-1=12,COLUMN()-1=24),1,0)</x:f>
        <x:v>0</x:v>
      </x:c>
      <x:c r="I8" s="74" t="n">
        <x:f>IF(OR(COLUMN()-1=12,COLUMN()-1=24),1,0)</x:f>
        <x:v>0</x:v>
      </x:c>
      <x:c r="J8" s="74" t="n">
        <x:f>IF(OR(COLUMN()-1=12,COLUMN()-1=24),1,0)</x:f>
        <x:v>0</x:v>
      </x:c>
      <x:c r="K8" s="74" t="n">
        <x:f>IF(OR(COLUMN()-1=12,COLUMN()-1=24),1,0)</x:f>
        <x:v>0</x:v>
      </x:c>
      <x:c r="L8" s="74" t="n">
        <x:f>IF(OR(COLUMN()-1=12,COLUMN()-1=24),1,0)</x:f>
        <x:v>0</x:v>
      </x:c>
      <x:c r="M8" s="74" t="n">
        <x:f>IF(OR(COLUMN()-1=12,COLUMN()-1=24),1,0)</x:f>
        <x:v>1</x:v>
      </x:c>
      <x:c r="N8" s="74" t="n">
        <x:f>IF(OR(COLUMN()-1=12,COLUMN()-1=24),1,0)</x:f>
        <x:v>0</x:v>
      </x:c>
      <x:c r="O8" s="74" t="n">
        <x:f>IF(OR(COLUMN()-1=12,COLUMN()-1=24),1,0)</x:f>
        <x:v>0</x:v>
      </x:c>
      <x:c r="P8" s="74" t="n">
        <x:f>IF(OR(COLUMN()-1=12,COLUMN()-1=24),1,0)</x:f>
        <x:v>0</x:v>
      </x:c>
      <x:c r="Q8" s="74" t="n">
        <x:f>IF(OR(COLUMN()-1=12,COLUMN()-1=24),1,0)</x:f>
        <x:v>0</x:v>
      </x:c>
      <x:c r="R8" s="74" t="n">
        <x:f>IF(OR(COLUMN()-1=12,COLUMN()-1=24),1,0)</x:f>
        <x:v>0</x:v>
      </x:c>
      <x:c r="S8" s="74" t="n">
        <x:f>IF(OR(COLUMN()-1=12,COLUMN()-1=24),1,0)</x:f>
        <x:v>0</x:v>
      </x:c>
      <x:c r="T8" s="74" t="n">
        <x:f>IF(OR(COLUMN()-1=12,COLUMN()-1=24),1,0)</x:f>
        <x:v>0</x:v>
      </x:c>
      <x:c r="U8" s="74" t="n">
        <x:f>IF(OR(COLUMN()-1=12,COLUMN()-1=24),1,0)</x:f>
        <x:v>0</x:v>
      </x:c>
      <x:c r="V8" s="74" t="n">
        <x:f>IF(OR(COLUMN()-1=12,COLUMN()-1=24),1,0)</x:f>
        <x:v>0</x:v>
      </x:c>
      <x:c r="W8" s="74" t="n">
        <x:f>IF(OR(COLUMN()-1=12,COLUMN()-1=24),1,0)</x:f>
        <x:v>0</x:v>
      </x:c>
      <x:c r="X8" s="74" t="n">
        <x:f>IF(OR(COLUMN()-1=12,COLUMN()-1=24),1,0)</x:f>
        <x:v>0</x:v>
      </x:c>
      <x:c r="Y8" s="74" t="n">
        <x:f>IF(OR(COLUMN()-1=12,COLUMN()-1=24),1,0)</x:f>
        <x:v>1</x:v>
      </x:c>
    </x:row>
    <x:row r="9" ht="15" hidden="0" customHeight="1">
      <x:c r="A9" t="str">
        <x:v>SEBI Registration / Regulatory Deposit</x:v>
      </x:c>
      <x:c r="B9" s="74" t="n">
        <x:f>IF(COLUMN()-1=3,5,0)</x:f>
        <x:v>0</x:v>
      </x:c>
      <x:c r="C9" s="74" t="n">
        <x:f>IF(COLUMN()-1=3,5,0)</x:f>
        <x:v>0</x:v>
      </x:c>
      <x:c r="D9" s="74" t="n">
        <x:f>IF(COLUMN()-1=3,5,0)</x:f>
        <x:v>5</x:v>
      </x:c>
      <x:c r="E9" s="74" t="n">
        <x:f>IF(COLUMN()-1=3,5,0)</x:f>
        <x:v>0</x:v>
      </x:c>
      <x:c r="F9" s="74" t="n">
        <x:f>IF(COLUMN()-1=3,5,0)</x:f>
        <x:v>0</x:v>
      </x:c>
      <x:c r="G9" s="74" t="n">
        <x:f>IF(COLUMN()-1=3,5,0)</x:f>
        <x:v>0</x:v>
      </x:c>
      <x:c r="H9" s="74" t="n">
        <x:f>IF(COLUMN()-1=3,5,0)</x:f>
        <x:v>0</x:v>
      </x:c>
      <x:c r="I9" s="74" t="n">
        <x:f>IF(COLUMN()-1=3,5,0)</x:f>
        <x:v>0</x:v>
      </x:c>
      <x:c r="J9" s="74" t="n">
        <x:f>IF(COLUMN()-1=3,5,0)</x:f>
        <x:v>0</x:v>
      </x:c>
      <x:c r="K9" s="74" t="n">
        <x:f>IF(COLUMN()-1=3,5,0)</x:f>
        <x:v>0</x:v>
      </x:c>
      <x:c r="L9" s="74" t="n">
        <x:f>IF(COLUMN()-1=3,5,0)</x:f>
        <x:v>0</x:v>
      </x:c>
      <x:c r="M9" s="74" t="n">
        <x:f>IF(COLUMN()-1=3,5,0)</x:f>
        <x:v>0</x:v>
      </x:c>
      <x:c r="N9" s="74" t="n">
        <x:f>IF(COLUMN()-1=3,5,0)</x:f>
        <x:v>0</x:v>
      </x:c>
      <x:c r="O9" s="74" t="n">
        <x:f>IF(COLUMN()-1=3,5,0)</x:f>
        <x:v>0</x:v>
      </x:c>
      <x:c r="P9" s="74" t="n">
        <x:f>IF(COLUMN()-1=3,5,0)</x:f>
        <x:v>0</x:v>
      </x:c>
      <x:c r="Q9" s="74" t="n">
        <x:f>IF(COLUMN()-1=3,5,0)</x:f>
        <x:v>0</x:v>
      </x:c>
      <x:c r="R9" s="74" t="n">
        <x:f>IF(COLUMN()-1=3,5,0)</x:f>
        <x:v>0</x:v>
      </x:c>
      <x:c r="S9" s="74" t="n">
        <x:f>IF(COLUMN()-1=3,5,0)</x:f>
        <x:v>0</x:v>
      </x:c>
      <x:c r="T9" s="74" t="n">
        <x:f>IF(COLUMN()-1=3,5,0)</x:f>
        <x:v>0</x:v>
      </x:c>
      <x:c r="U9" s="74" t="n">
        <x:f>IF(COLUMN()-1=3,5,0)</x:f>
        <x:v>0</x:v>
      </x:c>
      <x:c r="V9" s="74" t="n">
        <x:f>IF(COLUMN()-1=3,5,0)</x:f>
        <x:v>0</x:v>
      </x:c>
      <x:c r="W9" s="74" t="n">
        <x:f>IF(COLUMN()-1=3,5,0)</x:f>
        <x:v>0</x:v>
      </x:c>
      <x:c r="X9" s="74" t="n">
        <x:f>IF(COLUMN()-1=3,5,0)</x:f>
        <x:v>0</x:v>
      </x:c>
      <x:c r="Y9" s="74" t="n">
        <x:f>IF(COLUMN()-1=3,5,0)</x:f>
        <x:v>0</x:v>
      </x:c>
    </x:row>
    <x:row r="10" ht="15" hidden="0" customHeight="1">
      <x:c r="A10" t="str">
        <x:v>RA/RIA Panel and Periodic Audit</x:v>
      </x:c>
      <x:c r="B10" s="74" t="n">
        <x:f>IF(OR(COLUMN()-1=4,COLUMN()-1=12,COLUMN()-1=20),5,0)</x:f>
        <x:v>0</x:v>
      </x:c>
      <x:c r="C10" s="74" t="n">
        <x:f>IF(OR(COLUMN()-1=4,COLUMN()-1=12,COLUMN()-1=20),5,0)</x:f>
        <x:v>0</x:v>
      </x:c>
      <x:c r="D10" s="74" t="n">
        <x:f>IF(OR(COLUMN()-1=4,COLUMN()-1=12,COLUMN()-1=20),5,0)</x:f>
        <x:v>0</x:v>
      </x:c>
      <x:c r="E10" s="74" t="n">
        <x:f>IF(OR(COLUMN()-1=4,COLUMN()-1=12,COLUMN()-1=20),5,0)</x:f>
        <x:v>5</x:v>
      </x:c>
      <x:c r="F10" s="74" t="n">
        <x:f>IF(OR(COLUMN()-1=4,COLUMN()-1=12,COLUMN()-1=20),5,0)</x:f>
        <x:v>0</x:v>
      </x:c>
      <x:c r="G10" s="74" t="n">
        <x:f>IF(OR(COLUMN()-1=4,COLUMN()-1=12,COLUMN()-1=20),5,0)</x:f>
        <x:v>0</x:v>
      </x:c>
      <x:c r="H10" s="74" t="n">
        <x:f>IF(OR(COLUMN()-1=4,COLUMN()-1=12,COLUMN()-1=20),5,0)</x:f>
        <x:v>0</x:v>
      </x:c>
      <x:c r="I10" s="74" t="n">
        <x:f>IF(OR(COLUMN()-1=4,COLUMN()-1=12,COLUMN()-1=20),5,0)</x:f>
        <x:v>0</x:v>
      </x:c>
      <x:c r="J10" s="74" t="n">
        <x:f>IF(OR(COLUMN()-1=4,COLUMN()-1=12,COLUMN()-1=20),5,0)</x:f>
        <x:v>0</x:v>
      </x:c>
      <x:c r="K10" s="74" t="n">
        <x:f>IF(OR(COLUMN()-1=4,COLUMN()-1=12,COLUMN()-1=20),5,0)</x:f>
        <x:v>0</x:v>
      </x:c>
      <x:c r="L10" s="74" t="n">
        <x:f>IF(OR(COLUMN()-1=4,COLUMN()-1=12,COLUMN()-1=20),5,0)</x:f>
        <x:v>0</x:v>
      </x:c>
      <x:c r="M10" s="74" t="n">
        <x:f>IF(OR(COLUMN()-1=4,COLUMN()-1=12,COLUMN()-1=20),5,0)</x:f>
        <x:v>5</x:v>
      </x:c>
      <x:c r="N10" s="74" t="n">
        <x:f>IF(OR(COLUMN()-1=4,COLUMN()-1=12,COLUMN()-1=20),5,0)</x:f>
        <x:v>0</x:v>
      </x:c>
      <x:c r="O10" s="74" t="n">
        <x:f>IF(OR(COLUMN()-1=4,COLUMN()-1=12,COLUMN()-1=20),5,0)</x:f>
        <x:v>0</x:v>
      </x:c>
      <x:c r="P10" s="74" t="n">
        <x:f>IF(OR(COLUMN()-1=4,COLUMN()-1=12,COLUMN()-1=20),5,0)</x:f>
        <x:v>0</x:v>
      </x:c>
      <x:c r="Q10" s="74" t="n">
        <x:f>IF(OR(COLUMN()-1=4,COLUMN()-1=12,COLUMN()-1=20),5,0)</x:f>
        <x:v>0</x:v>
      </x:c>
      <x:c r="R10" s="74" t="n">
        <x:f>IF(OR(COLUMN()-1=4,COLUMN()-1=12,COLUMN()-1=20),5,0)</x:f>
        <x:v>0</x:v>
      </x:c>
      <x:c r="S10" s="74" t="n">
        <x:f>IF(OR(COLUMN()-1=4,COLUMN()-1=12,COLUMN()-1=20),5,0)</x:f>
        <x:v>0</x:v>
      </x:c>
      <x:c r="T10" s="74" t="n">
        <x:f>IF(OR(COLUMN()-1=4,COLUMN()-1=12,COLUMN()-1=20),5,0)</x:f>
        <x:v>0</x:v>
      </x:c>
      <x:c r="U10" s="74" t="n">
        <x:f>IF(OR(COLUMN()-1=4,COLUMN()-1=12,COLUMN()-1=20),5,0)</x:f>
        <x:v>5</x:v>
      </x:c>
      <x:c r="V10" s="74" t="n">
        <x:f>IF(OR(COLUMN()-1=4,COLUMN()-1=12,COLUMN()-1=20),5,0)</x:f>
        <x:v>0</x:v>
      </x:c>
      <x:c r="W10" s="74" t="n">
        <x:f>IF(OR(COLUMN()-1=4,COLUMN()-1=12,COLUMN()-1=20),5,0)</x:f>
        <x:v>0</x:v>
      </x:c>
      <x:c r="X10" s="74" t="n">
        <x:f>IF(OR(COLUMN()-1=4,COLUMN()-1=12,COLUMN()-1=20),5,0)</x:f>
        <x:v>0</x:v>
      </x:c>
      <x:c r="Y10" s="74" t="n">
        <x:f>IF(OR(COLUMN()-1=4,COLUMN()-1=12,COLUMN()-1=20),5,0)</x:f>
        <x:v>0</x:v>
      </x:c>
    </x:row>
    <x:row r="11" ht="15" hidden="0" customHeight="1">
      <x:c r="A11" s="73" t="str">
        <x:v>Total Compliance Cash Spend</x:v>
      </x:c>
      <x:c r="B11" s="75" t="n">
        <x:f>SUM(B6:B10)</x:f>
        <x:v>8.6</x:v>
      </x:c>
      <x:c r="C11" s="75" t="n">
        <x:f>SUM(C6:C10)</x:f>
        <x:v>8.6</x:v>
      </x:c>
      <x:c r="D11" s="75" t="n">
        <x:f>SUM(D6:D10)</x:f>
        <x:v>13.6</x:v>
      </x:c>
      <x:c r="E11" s="75" t="n">
        <x:f>SUM(E6:E10)</x:f>
        <x:v>5.6</x:v>
      </x:c>
      <x:c r="F11" s="75" t="n">
        <x:f>SUM(F6:F10)</x:f>
        <x:v>0.6</x:v>
      </x:c>
      <x:c r="G11" s="75" t="n">
        <x:f>SUM(G6:G10)</x:f>
        <x:v>0.6</x:v>
      </x:c>
      <x:c r="H11" s="75" t="n">
        <x:f>SUM(H6:H10)</x:f>
        <x:v>0.6</x:v>
      </x:c>
      <x:c r="I11" s="75" t="n">
        <x:f>SUM(I6:I10)</x:f>
        <x:v>0.6</x:v>
      </x:c>
      <x:c r="J11" s="75" t="n">
        <x:f>SUM(J6:J10)</x:f>
        <x:v>0.6</x:v>
      </x:c>
      <x:c r="K11" s="75" t="n">
        <x:f>SUM(K6:K10)</x:f>
        <x:v>0.6</x:v>
      </x:c>
      <x:c r="L11" s="75" t="n">
        <x:f>SUM(L6:L10)</x:f>
        <x:v>0.6</x:v>
      </x:c>
      <x:c r="M11" s="75" t="n">
        <x:f>SUM(M6:M10)</x:f>
        <x:v>6.6</x:v>
      </x:c>
      <x:c r="N11" s="75" t="n">
        <x:f>SUM(N6:N10)</x:f>
        <x:v>0.6</x:v>
      </x:c>
      <x:c r="O11" s="75" t="n">
        <x:f>SUM(O6:O10)</x:f>
        <x:v>0.6</x:v>
      </x:c>
      <x:c r="P11" s="75" t="n">
        <x:f>SUM(P6:P10)</x:f>
        <x:v>0.6</x:v>
      </x:c>
      <x:c r="Q11" s="75" t="n">
        <x:f>SUM(Q6:Q10)</x:f>
        <x:v>0.6</x:v>
      </x:c>
      <x:c r="R11" s="75" t="n">
        <x:f>SUM(R6:R10)</x:f>
        <x:v>0.6</x:v>
      </x:c>
      <x:c r="S11" s="75" t="n">
        <x:f>SUM(S6:S10)</x:f>
        <x:v>0.6</x:v>
      </x:c>
      <x:c r="T11" s="75" t="n">
        <x:f>SUM(T6:T10)</x:f>
        <x:v>0.6</x:v>
      </x:c>
      <x:c r="U11" s="75" t="n">
        <x:f>SUM(U6:U10)</x:f>
        <x:v>5.6</x:v>
      </x:c>
      <x:c r="V11" s="75" t="n">
        <x:f>SUM(V6:V10)</x:f>
        <x:v>0.6</x:v>
      </x:c>
      <x:c r="W11" s="75" t="n">
        <x:f>SUM(W6:W10)</x:f>
        <x:v>0.6</x:v>
      </x:c>
      <x:c r="X11" s="75" t="n">
        <x:f>SUM(X6:X10)</x:f>
        <x:v>0.6</x:v>
      </x:c>
      <x:c r="Y11" s="75" t="n">
        <x:f>SUM(Y6:Y10)</x:f>
        <x:v>1.6</x:v>
      </x:c>
    </x:row>
    <x:row r="12" ht="15" hidden="0" customHeight="1">
      <x:c r="A12" t="str">
        <x:v>P&amp;L Expense</x:v>
      </x:c>
      <x:c r="B12" s="74" t="n">
        <x:f>B11-B9</x:f>
        <x:v>8.6</x:v>
      </x:c>
      <x:c r="C12" s="74" t="n">
        <x:f>C11-C9</x:f>
        <x:v>8.6</x:v>
      </x:c>
      <x:c r="D12" s="74" t="n">
        <x:f>D11-D9</x:f>
        <x:v>8.6</x:v>
      </x:c>
      <x:c r="E12" s="74" t="n">
        <x:f>E11-E9</x:f>
        <x:v>5.6</x:v>
      </x:c>
      <x:c r="F12" s="74" t="n">
        <x:f>F11-F9</x:f>
        <x:v>0.6</x:v>
      </x:c>
      <x:c r="G12" s="74" t="n">
        <x:f>G11-G9</x:f>
        <x:v>0.6</x:v>
      </x:c>
      <x:c r="H12" s="74" t="n">
        <x:f>H11-H9</x:f>
        <x:v>0.6</x:v>
      </x:c>
      <x:c r="I12" s="74" t="n">
        <x:f>I11-I9</x:f>
        <x:v>0.6</x:v>
      </x:c>
      <x:c r="J12" s="74" t="n">
        <x:f>J11-J9</x:f>
        <x:v>0.6</x:v>
      </x:c>
      <x:c r="K12" s="74" t="n">
        <x:f>K11-K9</x:f>
        <x:v>0.6</x:v>
      </x:c>
      <x:c r="L12" s="74" t="n">
        <x:f>L11-L9</x:f>
        <x:v>0.6</x:v>
      </x:c>
      <x:c r="M12" s="74" t="n">
        <x:f>M11-M9</x:f>
        <x:v>6.6</x:v>
      </x:c>
      <x:c r="N12" s="74" t="n">
        <x:f>N11-N9</x:f>
        <x:v>0.6</x:v>
      </x:c>
      <x:c r="O12" s="74" t="n">
        <x:f>O11-O9</x:f>
        <x:v>0.6</x:v>
      </x:c>
      <x:c r="P12" s="74" t="n">
        <x:f>P11-P9</x:f>
        <x:v>0.6</x:v>
      </x:c>
      <x:c r="Q12" s="74" t="n">
        <x:f>Q11-Q9</x:f>
        <x:v>0.6</x:v>
      </x:c>
      <x:c r="R12" s="74" t="n">
        <x:f>R11-R9</x:f>
        <x:v>0.6</x:v>
      </x:c>
      <x:c r="S12" s="74" t="n">
        <x:f>S11-S9</x:f>
        <x:v>0.6</x:v>
      </x:c>
      <x:c r="T12" s="74" t="n">
        <x:f>T11-T9</x:f>
        <x:v>0.6</x:v>
      </x:c>
      <x:c r="U12" s="74" t="n">
        <x:f>U11-U9</x:f>
        <x:v>5.6</x:v>
      </x:c>
      <x:c r="V12" s="74" t="n">
        <x:f>V11-V9</x:f>
        <x:v>0.6</x:v>
      </x:c>
      <x:c r="W12" s="74" t="n">
        <x:f>W11-W9</x:f>
        <x:v>0.6</x:v>
      </x:c>
      <x:c r="X12" s="74" t="n">
        <x:f>X11-X9</x:f>
        <x:v>0.6</x:v>
      </x:c>
      <x:c r="Y12" s="74" t="n">
        <x:f>Y11-Y9</x:f>
        <x:v>1.6</x:v>
      </x:c>
    </x:row>
    <x:row r="13" ht="15" hidden="0" customHeight="1">
      <x:c r="A13" t="str">
        <x:v>Balance Sheet Regulatory Deposit</x:v>
      </x:c>
      <x:c r="B13" s="74" t="n">
        <x:f>SUM($B$9:B9)</x:f>
        <x:v>0</x:v>
      </x:c>
      <x:c r="C13" s="74" t="n">
        <x:f>SUM($B$9:C9)</x:f>
        <x:v>0</x:v>
      </x:c>
      <x:c r="D13" s="74" t="n">
        <x:f>SUM($B$9:D9)</x:f>
        <x:v>5</x:v>
      </x:c>
      <x:c r="E13" s="74" t="n">
        <x:f>SUM($B$9:E9)</x:f>
        <x:v>5</x:v>
      </x:c>
      <x:c r="F13" s="74" t="n">
        <x:f>SUM($B$9:F9)</x:f>
        <x:v>5</x:v>
      </x:c>
      <x:c r="G13" s="74" t="n">
        <x:f>SUM($B$9:G9)</x:f>
        <x:v>5</x:v>
      </x:c>
      <x:c r="H13" s="74" t="n">
        <x:f>SUM($B$9:H9)</x:f>
        <x:v>5</x:v>
      </x:c>
      <x:c r="I13" s="74" t="n">
        <x:f>SUM($B$9:I9)</x:f>
        <x:v>5</x:v>
      </x:c>
      <x:c r="J13" s="74" t="n">
        <x:f>SUM($B$9:J9)</x:f>
        <x:v>5</x:v>
      </x:c>
      <x:c r="K13" s="74" t="n">
        <x:f>SUM($B$9:K9)</x:f>
        <x:v>5</x:v>
      </x:c>
      <x:c r="L13" s="74" t="n">
        <x:f>SUM($B$9:L9)</x:f>
        <x:v>5</x:v>
      </x:c>
      <x:c r="M13" s="74" t="n">
        <x:f>SUM($B$9:M9)</x:f>
        <x:v>5</x:v>
      </x:c>
      <x:c r="N13" s="74" t="n">
        <x:f>SUM($B$9:N9)</x:f>
        <x:v>5</x:v>
      </x:c>
      <x:c r="O13" s="74" t="n">
        <x:f>SUM($B$9:O9)</x:f>
        <x:v>5</x:v>
      </x:c>
      <x:c r="P13" s="74" t="n">
        <x:f>SUM($B$9:P9)</x:f>
        <x:v>5</x:v>
      </x:c>
      <x:c r="Q13" s="74" t="n">
        <x:f>SUM($B$9:Q9)</x:f>
        <x:v>5</x:v>
      </x:c>
      <x:c r="R13" s="74" t="n">
        <x:f>SUM($B$9:R9)</x:f>
        <x:v>5</x:v>
      </x:c>
      <x:c r="S13" s="74" t="n">
        <x:f>SUM($B$9:S9)</x:f>
        <x:v>5</x:v>
      </x:c>
      <x:c r="T13" s="74" t="n">
        <x:f>SUM($B$9:T9)</x:f>
        <x:v>5</x:v>
      </x:c>
      <x:c r="U13" s="74" t="n">
        <x:f>SUM($B$9:U9)</x:f>
        <x:v>5</x:v>
      </x:c>
      <x:c r="V13" s="74" t="n">
        <x:f>SUM($B$9:V9)</x:f>
        <x:v>5</x:v>
      </x:c>
      <x:c r="W13" s="74" t="n">
        <x:f>SUM($B$9:W9)</x:f>
        <x:v>5</x:v>
      </x:c>
      <x:c r="X13" s="74" t="n">
        <x:f>SUM($B$9:X9)</x:f>
        <x:v>5</x:v>
      </x:c>
      <x:c r="Y13" s="74" t="n">
        <x:f>SUM($B$9:Y9)</x:f>
        <x:v>5</x:v>
      </x:c>
    </x:row>
    <x:row r="14" ht="15" hidden="0" customHeight="1">
      <x:c r="A14" t="str">
        <x:v>Reference Total Programme</x:v>
      </x:c>
      <x:c r="B14" s="74" t="n">
        <x:f>60.4</x:f>
        <x:v>60.4</x:v>
      </x:c>
      <x:c r="C14" s="74" t="n">
        <x:f>60.4</x:f>
        <x:v>60.4</x:v>
      </x:c>
      <x:c r="D14" s="74" t="n">
        <x:f>60.4</x:f>
        <x:v>60.4</x:v>
      </x:c>
      <x:c r="E14" s="74" t="n">
        <x:f>60.4</x:f>
        <x:v>60.4</x:v>
      </x:c>
      <x:c r="F14" s="74" t="n">
        <x:f>60.4</x:f>
        <x:v>60.4</x:v>
      </x:c>
      <x:c r="G14" s="74" t="n">
        <x:f>60.4</x:f>
        <x:v>60.4</x:v>
      </x:c>
      <x:c r="H14" s="74" t="n">
        <x:f>60.4</x:f>
        <x:v>60.4</x:v>
      </x:c>
      <x:c r="I14" s="74" t="n">
        <x:f>60.4</x:f>
        <x:v>60.4</x:v>
      </x:c>
      <x:c r="J14" s="74" t="n">
        <x:f>60.4</x:f>
        <x:v>60.4</x:v>
      </x:c>
      <x:c r="K14" s="74" t="n">
        <x:f>60.4</x:f>
        <x:v>60.4</x:v>
      </x:c>
      <x:c r="L14" s="74" t="n">
        <x:f>60.4</x:f>
        <x:v>60.4</x:v>
      </x:c>
      <x:c r="M14" s="74" t="n">
        <x:f>60.4</x:f>
        <x:v>60.4</x:v>
      </x:c>
      <x:c r="N14" s="74" t="n">
        <x:f>60.4</x:f>
        <x:v>60.4</x:v>
      </x:c>
      <x:c r="O14" s="74" t="n">
        <x:f>60.4</x:f>
        <x:v>60.4</x:v>
      </x:c>
      <x:c r="P14" s="74" t="n">
        <x:f>60.4</x:f>
        <x:v>60.4</x:v>
      </x:c>
      <x:c r="Q14" s="74" t="n">
        <x:f>60.4</x:f>
        <x:v>60.4</x:v>
      </x:c>
      <x:c r="R14" s="74" t="n">
        <x:f>60.4</x:f>
        <x:v>60.4</x:v>
      </x:c>
      <x:c r="S14" s="74" t="n">
        <x:f>60.4</x:f>
        <x:v>60.4</x:v>
      </x:c>
      <x:c r="T14" s="74" t="n">
        <x:f>60.4</x:f>
        <x:v>60.4</x:v>
      </x:c>
      <x:c r="U14" s="74" t="n">
        <x:f>60.4</x:f>
        <x:v>60.4</x:v>
      </x:c>
      <x:c r="V14" s="74" t="n">
        <x:f>60.4</x:f>
        <x:v>60.4</x:v>
      </x:c>
      <x:c r="W14" s="74" t="n">
        <x:f>60.4</x:f>
        <x:v>60.4</x:v>
      </x:c>
      <x:c r="X14" s="74" t="n">
        <x:f>60.4</x:f>
        <x:v>60.4</x:v>
      </x:c>
      <x:c r="Y14" s="74" t="n">
        <x:f>60.4</x:f>
        <x:v>60.4</x:v>
      </x:c>
    </x:row>
    <x:row r="15" ht="15" hidden="0" customHeight="1">
      <x:c r="A15" t="str">
        <x:v>Variance to Reference</x:v>
      </x:c>
      <x:c r="B15" s="74" t="n">
        <x:f>B14-SUM($B$11:$Y$11)</x:f>
        <x:v>-2.842170943040401e-14</x:v>
      </x:c>
      <x:c r="C15" s="74" t="n">
        <x:f>C14-SUM($B$11:$Y$11)</x:f>
        <x:v>-2.842170943040401e-14</x:v>
      </x:c>
      <x:c r="D15" s="74" t="n">
        <x:f>D14-SUM($B$11:$Y$11)</x:f>
        <x:v>-2.842170943040401e-14</x:v>
      </x:c>
      <x:c r="E15" s="74" t="n">
        <x:f>E14-SUM($B$11:$Y$11)</x:f>
        <x:v>-2.842170943040401e-14</x:v>
      </x:c>
      <x:c r="F15" s="74" t="n">
        <x:f>F14-SUM($B$11:$Y$11)</x:f>
        <x:v>-2.842170943040401e-14</x:v>
      </x:c>
      <x:c r="G15" s="74" t="n">
        <x:f>G14-SUM($B$11:$Y$11)</x:f>
        <x:v>-2.842170943040401e-14</x:v>
      </x:c>
      <x:c r="H15" s="74" t="n">
        <x:f>H14-SUM($B$11:$Y$11)</x:f>
        <x:v>-2.842170943040401e-14</x:v>
      </x:c>
      <x:c r="I15" s="74" t="n">
        <x:f>I14-SUM($B$11:$Y$11)</x:f>
        <x:v>-2.842170943040401e-14</x:v>
      </x:c>
      <x:c r="J15" s="74" t="n">
        <x:f>J14-SUM($B$11:$Y$11)</x:f>
        <x:v>-2.842170943040401e-14</x:v>
      </x:c>
      <x:c r="K15" s="74" t="n">
        <x:f>K14-SUM($B$11:$Y$11)</x:f>
        <x:v>-2.842170943040401e-14</x:v>
      </x:c>
      <x:c r="L15" s="74" t="n">
        <x:f>L14-SUM($B$11:$Y$11)</x:f>
        <x:v>-2.842170943040401e-14</x:v>
      </x:c>
      <x:c r="M15" s="74" t="n">
        <x:f>M14-SUM($B$11:$Y$11)</x:f>
        <x:v>-2.842170943040401e-14</x:v>
      </x:c>
      <x:c r="N15" s="74" t="n">
        <x:f>N14-SUM($B$11:$Y$11)</x:f>
        <x:v>-2.842170943040401e-14</x:v>
      </x:c>
      <x:c r="O15" s="74" t="n">
        <x:f>O14-SUM($B$11:$Y$11)</x:f>
        <x:v>-2.842170943040401e-14</x:v>
      </x:c>
      <x:c r="P15" s="74" t="n">
        <x:f>P14-SUM($B$11:$Y$11)</x:f>
        <x:v>-2.842170943040401e-14</x:v>
      </x:c>
      <x:c r="Q15" s="74" t="n">
        <x:f>Q14-SUM($B$11:$Y$11)</x:f>
        <x:v>-2.842170943040401e-14</x:v>
      </x:c>
      <x:c r="R15" s="74" t="n">
        <x:f>R14-SUM($B$11:$Y$11)</x:f>
        <x:v>-2.842170943040401e-14</x:v>
      </x:c>
      <x:c r="S15" s="74" t="n">
        <x:f>S14-SUM($B$11:$Y$11)</x:f>
        <x:v>-2.842170943040401e-14</x:v>
      </x:c>
      <x:c r="T15" s="74" t="n">
        <x:f>T14-SUM($B$11:$Y$11)</x:f>
        <x:v>-2.842170943040401e-14</x:v>
      </x:c>
      <x:c r="U15" s="74" t="n">
        <x:f>U14-SUM($B$11:$Y$11)</x:f>
        <x:v>-2.842170943040401e-14</x:v>
      </x:c>
      <x:c r="V15" s="74" t="n">
        <x:f>V14-SUM($B$11:$Y$11)</x:f>
        <x:v>-2.842170943040401e-14</x:v>
      </x:c>
      <x:c r="W15" s="74" t="n">
        <x:f>W14-SUM($B$11:$Y$11)</x:f>
        <x:v>-2.842170943040401e-14</x:v>
      </x:c>
      <x:c r="X15" s="74" t="n">
        <x:f>X14-SUM($B$11:$Y$11)</x:f>
        <x:v>-2.842170943040401e-14</x:v>
      </x:c>
      <x:c r="Y15" s="74" t="n">
        <x:f>Y14-SUM($B$11:$Y$11)</x:f>
        <x:v>-2.842170943040401e-14</x:v>
      </x:c>
    </x:row>
  </x:sheetData>
  <x:mergeCells>
    <x:mergeCell ref="A1:H1"/>
    <x:mergeCell ref="A2:H2"/>
    <x:mergeCell ref="A5:Y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8.25" hidden="0" customWidth="1"/>
    <x:col min="3" max="3" width="8.25" hidden="0" customWidth="1"/>
    <x:col min="4" max="4" width="8.25" hidden="0" customWidth="1"/>
    <x:col min="5" max="5" width="8.25" hidden="0" customWidth="1"/>
    <x:col min="6" max="6" width="8.25" hidden="0" customWidth="1"/>
    <x:col min="7" max="7" width="8.25" hidden="0" customWidth="1"/>
    <x:col min="8" max="8" width="8.25" hidden="0" customWidth="1"/>
    <x:col min="9" max="9" width="8.25" hidden="0" customWidth="1"/>
    <x:col min="10" max="10" width="8.25" hidden="0" customWidth="1"/>
    <x:col min="11" max="11" width="8.25" hidden="0" customWidth="1"/>
    <x:col min="12" max="12" width="8.25" hidden="0" customWidth="1"/>
    <x:col min="13" max="13" width="8.25" hidden="0" customWidth="1"/>
    <x:col min="14" max="14" width="8.25" hidden="0" customWidth="1"/>
    <x:col min="15" max="15" width="8.25" hidden="0" customWidth="1"/>
    <x:col min="16" max="16" width="8.25" hidden="0" customWidth="1"/>
    <x:col min="17" max="17" width="8.25" hidden="0" customWidth="1"/>
    <x:col min="18" max="18" width="8.25" hidden="0" customWidth="1"/>
    <x:col min="19" max="19" width="8.25" hidden="0" customWidth="1"/>
    <x:col min="20" max="20" width="8.25" hidden="0" customWidth="1"/>
    <x:col min="21" max="21" width="8.25" hidden="0" customWidth="1"/>
    <x:col min="22" max="22" width="8.25" hidden="0" customWidth="1"/>
    <x:col min="23" max="23" width="8.25" hidden="0" customWidth="1"/>
    <x:col min="24" max="24" width="8.25" hidden="0" customWidth="1"/>
    <x:col min="25" max="25" width="8.25" hidden="0" customWidth="1"/>
  </x:cols>
  <x:sheetData>
    <x:row r="1" ht="19.200000762939453" hidden="0" customHeight="1">
      <x:c r="A1" s="2" t="str">
        <x:v>Cash Flow &amp; Runway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15" hidden="0" customHeight="1">
      <x:c r="A2" s="4" t="str">
        <x:v>Integrated cash roll-forward, burn, working capital and runway.</x:v>
      </x:c>
    </x:row>
    <x:row r="3"/>
    <x:row r="4" ht="15" hidden="0" customHeight="1">
      <x:c r="A4" s="10" t="str">
        <x:v>Metric</x:v>
      </x:c>
      <x:c r="B4" s="11" t="str">
        <x:v>M1</x:v>
      </x:c>
      <x:c r="C4" s="11" t="str">
        <x:v>M2</x:v>
      </x:c>
      <x:c r="D4" s="11" t="str">
        <x:v>M3</x:v>
      </x:c>
      <x:c r="E4" s="11" t="str">
        <x:v>M4</x:v>
      </x:c>
      <x:c r="F4" s="11" t="str">
        <x:v>M5</x:v>
      </x:c>
      <x:c r="G4" s="11" t="str">
        <x:v>M6</x:v>
      </x:c>
      <x:c r="H4" s="11" t="str">
        <x:v>M7</x:v>
      </x:c>
      <x:c r="I4" s="11" t="str">
        <x:v>M8</x:v>
      </x:c>
      <x:c r="J4" s="11" t="str">
        <x:v>M9</x:v>
      </x:c>
      <x:c r="K4" s="11" t="str">
        <x:v>M10</x:v>
      </x:c>
      <x:c r="L4" s="11" t="str">
        <x:v>M11</x:v>
      </x:c>
      <x:c r="M4" s="11" t="str">
        <x:v>M12</x:v>
      </x:c>
      <x:c r="N4" s="11" t="str">
        <x:v>M13</x:v>
      </x:c>
      <x:c r="O4" s="11" t="str">
        <x:v>M14</x:v>
      </x:c>
      <x:c r="P4" s="11" t="str">
        <x:v>M15</x:v>
      </x:c>
      <x:c r="Q4" s="11" t="str">
        <x:v>M16</x:v>
      </x:c>
      <x:c r="R4" s="11" t="str">
        <x:v>M17</x:v>
      </x:c>
      <x:c r="S4" s="11" t="str">
        <x:v>M18</x:v>
      </x:c>
      <x:c r="T4" s="11" t="str">
        <x:v>M19</x:v>
      </x:c>
      <x:c r="U4" s="11" t="str">
        <x:v>M20</x:v>
      </x:c>
      <x:c r="V4" s="11" t="str">
        <x:v>M21</x:v>
      </x:c>
      <x:c r="W4" s="11" t="str">
        <x:v>M22</x:v>
      </x:c>
      <x:c r="X4" s="11" t="str">
        <x:v>M23</x:v>
      </x:c>
      <x:c r="Y4" s="12" t="str">
        <x:v>M24</x:v>
      </x:c>
    </x:row>
    <x:row r="5" ht="15" hidden="0" customHeight="1">
      <x:c r="A5" s="45" t="str">
        <x:v>Cash Flow</x:v>
      </x:c>
      <x:c r="B5" s="46" t="str">
        <x:v>Cash Flow</x:v>
      </x:c>
      <x:c r="C5" s="46" t="str">
        <x:v>Cash Flow</x:v>
      </x:c>
      <x:c r="D5" s="46" t="str">
        <x:v>Cash Flow</x:v>
      </x:c>
      <x:c r="E5" s="46" t="str">
        <x:v>Cash Flow</x:v>
      </x:c>
      <x:c r="F5" s="46" t="str">
        <x:v>Cash Flow</x:v>
      </x:c>
      <x:c r="G5" s="46" t="str">
        <x:v>Cash Flow</x:v>
      </x:c>
      <x:c r="H5" s="46" t="str">
        <x:v>Cash Flow</x:v>
      </x:c>
      <x:c r="I5" s="46" t="str">
        <x:v>Cash Flow</x:v>
      </x:c>
      <x:c r="J5" s="46" t="str">
        <x:v>Cash Flow</x:v>
      </x:c>
      <x:c r="K5" s="46" t="str">
        <x:v>Cash Flow</x:v>
      </x:c>
      <x:c r="L5" s="46" t="str">
        <x:v>Cash Flow</x:v>
      </x:c>
      <x:c r="M5" s="46" t="str">
        <x:v>Cash Flow</x:v>
      </x:c>
      <x:c r="N5" s="46" t="str">
        <x:v>Cash Flow</x:v>
      </x:c>
      <x:c r="O5" s="46" t="str">
        <x:v>Cash Flow</x:v>
      </x:c>
      <x:c r="P5" s="46" t="str">
        <x:v>Cash Flow</x:v>
      </x:c>
      <x:c r="Q5" s="46" t="str">
        <x:v>Cash Flow</x:v>
      </x:c>
      <x:c r="R5" s="46" t="str">
        <x:v>Cash Flow</x:v>
      </x:c>
      <x:c r="S5" s="46" t="str">
        <x:v>Cash Flow</x:v>
      </x:c>
      <x:c r="T5" s="46" t="str">
        <x:v>Cash Flow</x:v>
      </x:c>
      <x:c r="U5" s="46" t="str">
        <x:v>Cash Flow</x:v>
      </x:c>
      <x:c r="V5" s="46" t="str">
        <x:v>Cash Flow</x:v>
      </x:c>
      <x:c r="W5" s="46" t="str">
        <x:v>Cash Flow</x:v>
      </x:c>
      <x:c r="X5" s="46" t="str">
        <x:v>Cash Flow</x:v>
      </x:c>
      <x:c r="Y5" s="47" t="str">
        <x:v>Cash Flow</x:v>
      </x:c>
    </x:row>
    <x:row r="6" ht="15" hidden="0" customHeight="1">
      <x:c r="A6" t="str">
        <x:v>Opening Cash</x:v>
      </x:c>
      <x:c r="B6" s="74" t="n">
        <x:f>0</x:f>
        <x:v>0</x:v>
      </x:c>
      <x:c r="C6" s="74" t="n">
        <x:f>B23</x:f>
        <x:v>998.912623659575</x:v>
      </x:c>
      <x:c r="D6" s="74" t="n">
        <x:f>C23</x:f>
        <x:v>971.784595569491</x:v>
      </x:c>
      <x:c r="E6" s="74" t="n">
        <x:f>D23</x:f>
        <x:v>945.7493742021904</x:v>
      </x:c>
      <x:c r="F6" s="74" t="n">
        <x:f>E23</x:f>
        <x:v>919.4803098762436</x:v>
      </x:c>
      <x:c r="G6" s="74" t="n">
        <x:f>F23</x:f>
        <x:v>901.2288952250873</x:v>
      </x:c>
      <x:c r="H6" s="74" t="n">
        <x:f>G23</x:f>
        <x:v>882.6917939660482</x:v>
      </x:c>
      <x:c r="I6" s="74" t="n">
        <x:f>H23</x:f>
        <x:v>863.4218989624435</x:v>
      </x:c>
      <x:c r="J6" s="74" t="n">
        <x:f>I23</x:f>
        <x:v>847.8965568076588</x:v>
      </x:c>
      <x:c r="K6" s="74" t="n">
        <x:f>J23</x:f>
        <x:v>827.5298037924152</x:v>
      </x:c>
      <x:c r="L6" s="74" t="n">
        <x:f>K23</x:f>
        <x:v>811.5671003243735</x:v>
      </x:c>
      <x:c r="M6" s="74" t="n">
        <x:f>L23</x:f>
        <x:v>795.2691505794634</x:v>
      </x:c>
      <x:c r="N6" s="74" t="n">
        <x:f>M23</x:f>
        <x:v>778.3696566352296</x:v>
      </x:c>
      <x:c r="O6" s="74" t="n">
        <x:f>N23</x:f>
        <x:v>749.0571396545897</x:v>
      </x:c>
      <x:c r="P6" s="74" t="n">
        <x:f>O23</x:f>
        <x:v>728.5143576444028</x:v>
      </x:c>
      <x:c r="Q6" s="74" t="n">
        <x:f>P23</x:f>
        <x:v>707.0341331553805</x:v>
      </x:c>
      <x:c r="R6" s="74" t="n">
        <x:f>Q23</x:f>
        <x:v>685.0638166276003</x:v>
      </x:c>
      <x:c r="S6" s="74" t="n">
        <x:f>R23</x:f>
        <x:v>662.5986423264076</x:v>
      </x:c>
      <x:c r="T6" s="74" t="n">
        <x:f>S23</x:f>
        <x:v>638.7323792764244</x:v>
      </x:c>
      <x:c r="U6" s="74" t="n">
        <x:f>T23</x:f>
        <x:v>605.4965479606835</x:v>
      </x:c>
      <x:c r="V6" s="74" t="n">
        <x:f>U23</x:f>
        <x:v>583.119127022867</x:v>
      </x:c>
      <x:c r="W6" s="74" t="n">
        <x:f>V23</x:f>
        <x:v>554.7783756802064</x:v>
      </x:c>
      <x:c r="X6" s="74" t="n">
        <x:f>W23</x:f>
        <x:v>530.0899225410485</x:v>
      </x:c>
      <x:c r="Y6" s="74" t="n">
        <x:f>X23</x:f>
        <x:v>505.54727653303826</x:v>
      </x:c>
    </x:row>
    <x:row r="7" ht="15" hidden="0" customHeight="1">
      <x:c r="A7" t="str">
        <x:v>Customer Cash Receipts</x:v>
      </x:c>
      <x:c r="B7" s="74" t="n">
        <x:f>'Marketing &amp; Revenue Pipeline'!B44+'Marketing &amp; Revenue Pipeline'!B46</x:f>
        <x:v>0.0113148</x:v>
      </x:c>
      <x:c r="C7" s="74" t="n">
        <x:f>'Marketing &amp; Revenue Pipeline'!C44+'Marketing &amp; Revenue Pipeline'!C46</x:f>
        <x:v>0.04907726943919345</x:v>
      </x:c>
      <x:c r="D7" s="74" t="n">
        <x:f>'Marketing &amp; Revenue Pipeline'!D44+'Marketing &amp; Revenue Pipeline'!D46</x:f>
        <x:v>0.11344268178954002</x:v>
      </x:c>
      <x:c r="E7" s="74" t="n">
        <x:f>'Marketing &amp; Revenue Pipeline'!E44+'Marketing &amp; Revenue Pipeline'!E46</x:f>
        <x:v>0.1943616120982987</x:v>
      </x:c>
      <x:c r="F7" s="74" t="n">
        <x:f>'Marketing &amp; Revenue Pipeline'!F44+'Marketing &amp; Revenue Pipeline'!F46</x:f>
        <x:v>0.287738256710775</x:v>
      </x:c>
      <x:c r="G7" s="74" t="n">
        <x:f>'Marketing &amp; Revenue Pipeline'!G44+'Marketing &amp; Revenue Pipeline'!G46</x:f>
        <x:v>0.393758720541903</x:v>
      </x:c>
      <x:c r="H7" s="74" t="n">
        <x:f>'Marketing &amp; Revenue Pipeline'!H44+'Marketing &amp; Revenue Pipeline'!H46</x:f>
        <x:v>0.5066626540642722</x:v>
      </x:c>
      <x:c r="I7" s="74" t="n">
        <x:f>'Marketing &amp; Revenue Pipeline'!I44+'Marketing &amp; Revenue Pipeline'!I46</x:f>
        <x:v>0.6234222098298676</x:v>
      </x:c>
      <x:c r="J7" s="74" t="n">
        <x:f>'Marketing &amp; Revenue Pipeline'!J44+'Marketing &amp; Revenue Pipeline'!J46</x:f>
        <x:v>0.7452820712035286</x:v>
      </x:c>
      <x:c r="K7" s="74" t="n">
        <x:f>'Marketing &amp; Revenue Pipeline'!K44+'Marketing &amp; Revenue Pipeline'!K46</x:f>
        <x:v>0.8734897570888468</x:v>
      </x:c>
      <x:c r="L7" s="74" t="n">
        <x:f>'Marketing &amp; Revenue Pipeline'!L44+'Marketing &amp; Revenue Pipeline'!L46</x:f>
        <x:v>1.006912647763075</x:v>
      </x:c>
      <x:c r="M7" s="74" t="n">
        <x:f>'Marketing &amp; Revenue Pipeline'!M44+'Marketing &amp; Revenue Pipeline'!M46</x:f>
        <x:v>1.1463863764965343</x:v>
      </x:c>
      <x:c r="N7" s="74" t="n">
        <x:f>'Marketing &amp; Revenue Pipeline'!N44+'Marketing &amp; Revenue Pipeline'!N46</x:f>
        <x:v>1.3063317844990547</x:v>
      </x:c>
      <x:c r="O7" s="74" t="n">
        <x:f>'Marketing &amp; Revenue Pipeline'!O44+'Marketing &amp; Revenue Pipeline'!O46</x:f>
        <x:v>1.4987051902961566</x:v>
      </x:c>
      <x:c r="P7" s="74" t="n">
        <x:f>'Marketing &amp; Revenue Pipeline'!P44+'Marketing &amp; Revenue Pipeline'!P46</x:f>
        <x:v>1.719709963453056</x:v>
      </x:c>
      <x:c r="Q7" s="74" t="n">
        <x:f>'Marketing &amp; Revenue Pipeline'!Q44+'Marketing &amp; Revenue Pipeline'!Q46</x:f>
        <x:v>1.9666872287334596</x:v>
      </x:c>
      <x:c r="R7" s="74" t="n">
        <x:f>'Marketing &amp; Revenue Pipeline'!R44+'Marketing &amp; Revenue Pipeline'!R46</x:f>
        <x:v>2.249439087586641</x:v>
      </x:c>
      <x:c r="S7" s="74" t="n">
        <x:f>'Marketing &amp; Revenue Pipeline'!S44+'Marketing &amp; Revenue Pipeline'!S46</x:f>
        <x:v>2.571345313169502</x:v>
      </x:c>
      <x:c r="T7" s="74" t="n">
        <x:f>'Marketing &amp; Revenue Pipeline'!T44+'Marketing &amp; Revenue Pipeline'!T46</x:f>
        <x:v>2.883209902457467</x:v>
      </x:c>
      <x:c r="U7" s="74" t="n">
        <x:f>'Marketing &amp; Revenue Pipeline'!U44+'Marketing &amp; Revenue Pipeline'!U46</x:f>
        <x:v>3.189647169628229</x:v>
      </x:c>
      <x:c r="V7" s="74" t="n">
        <x:f>'Marketing &amp; Revenue Pipeline'!V44+'Marketing &amp; Revenue Pipeline'!V46</x:f>
        <x:v>3.5421810863264023</x:v>
      </x:c>
      <x:c r="W7" s="74" t="n">
        <x:f>'Marketing &amp; Revenue Pipeline'!W44+'Marketing &amp; Revenue Pipeline'!W46</x:f>
        <x:v>3.9322049035916824</x:v>
      </x:c>
      <x:c r="X7" s="74" t="n">
        <x:f>'Marketing &amp; Revenue Pipeline'!X44+'Marketing &amp; Revenue Pipeline'!X46</x:f>
        <x:v>4.353195217391304</x:v>
      </x:c>
      <x:c r="Y7" s="74" t="n">
        <x:f>'Marketing &amp; Revenue Pipeline'!Y44+'Marketing &amp; Revenue Pipeline'!Y46</x:f>
        <x:v>4.80562034057971</x:v>
      </x:c>
    </x:row>
    <x:row r="8" ht="15" hidden="0" customHeight="1">
      <x:c r="A8" t="str">
        <x:v>Partner Receipts</x:v>
      </x:c>
      <x:c r="B8" s="74" t="n">
        <x:f>'Marketing &amp; Revenue Pipeline'!B45+0-B18</x:f>
        <x:v>-0.0001875</x:v>
      </x:c>
      <x:c r="C8" s="74" t="n">
        <x:f>'Marketing &amp; Revenue Pipeline'!C45+B18-C18</x:f>
        <x:v>-0.000008700789019478817</x:v>
      </x:c>
      <x:c r="D8" s="74" t="n">
        <x:f>'Marketing &amp; Revenue Pipeline'!D45+C18-D18</x:f>
        <x:v>0.0005293026218459763</x:v>
      </x:c>
      <x:c r="E8" s="74" t="n">
        <x:f>'Marketing &amp; Revenue Pipeline'!E45+D18-E18</x:f>
        <x:v>0.001596969261116134</x:v>
      </x:c>
      <x:c r="F8" s="74" t="n">
        <x:f>'Marketing &amp; Revenue Pipeline'!F45+E18-F18</x:f>
        <x:v>0.002853257787457878</x:v>
      </x:c>
      <x:c r="G8" s="74" t="n">
        <x:f>'Marketing &amp; Revenue Pipeline'!G45+F18-G18</x:f>
        <x:v>0.004618507027204732</x:v>
      </x:c>
      <x:c r="H8" s="74" t="n">
        <x:f>'Marketing &amp; Revenue Pipeline'!H45+G18-H18</x:f>
        <x:v>0.007014255260129859</x:v>
      </x:c>
      <x:c r="I8" s="74" t="n">
        <x:f>'Marketing &amp; Revenue Pipeline'!I45+H18-I18</x:f>
        <x:v>0.010178411379140308</x:v>
      </x:c>
      <x:c r="J8" s="74" t="n">
        <x:f>'Marketing &amp; Revenue Pipeline'!J45+I18-J18</x:f>
        <x:v>0.01426622575408893</x:v>
      </x:c>
      <x:c r="K8" s="74" t="n">
        <x:f>'Marketing &amp; Revenue Pipeline'!K45+J18-K18</x:f>
        <x:v>0.019451261095586418</x:v>
      </x:c>
      <x:c r="L8" s="74" t="n">
        <x:f>'Marketing &amp; Revenue Pipeline'!L45+K18-L18</x:f>
        <x:v>0.026035523084983976</x:v>
      </x:c>
      <x:c r="M8" s="74" t="n">
        <x:f>'Marketing &amp; Revenue Pipeline'!M45+L18-M18</x:f>
        <x:v>0.03382509015163966</x:v>
      </x:c>
      <x:c r="N8" s="74" t="n">
        <x:f>'Marketing &amp; Revenue Pipeline'!N45+M18-N18</x:f>
        <x:v>0.0427365620119997</x:v>
      </x:c>
      <x:c r="O8" s="74" t="n">
        <x:f>'Marketing &amp; Revenue Pipeline'!O45+N18-O18</x:f>
        <x:v>0.05464868496753515</x:v>
      </x:c>
      <x:c r="P8" s="74" t="n">
        <x:f>'Marketing &amp; Revenue Pipeline'!P45+O18-P18</x:f>
        <x:v>0.07015362044875484</x:v>
      </x:c>
      <x:c r="Q8" s="74" t="n">
        <x:f>'Marketing &amp; Revenue Pipeline'!Q45+P18-Q18</x:f>
        <x:v>0.08895398824689735</x:v>
      </x:c>
      <x:c r="R8" s="74" t="n">
        <x:f>'Marketing &amp; Revenue Pipeline'!R45+Q18-R18</x:f>
        <x:v>0.11110419372071997</x:v>
      </x:c>
      <x:c r="S8" s="74" t="n">
        <x:f>'Marketing &amp; Revenue Pipeline'!S45+R18-S18</x:f>
        <x:v>0.13878809484671656</x:v>
      </x:c>
      <x:c r="T8" s="74" t="n">
        <x:f>'Marketing &amp; Revenue Pipeline'!T45+S18-T18</x:f>
        <x:v>0.17473037468151553</x:v>
      </x:c>
      <x:c r="U8" s="74" t="n">
        <x:f>'Marketing &amp; Revenue Pipeline'!U45+T18-U18</x:f>
        <x:v>0.2074795836072985</x:v>
      </x:c>
      <x:c r="V8" s="74" t="n">
        <x:f>'Marketing &amp; Revenue Pipeline'!V45+U18-V18</x:f>
        <x:v>0.24546058190186576</x:v>
      </x:c>
      <x:c r="W8" s="74" t="n">
        <x:f>'Marketing &amp; Revenue Pipeline'!W45+V18-W18</x:f>
        <x:v>0.29000958946330235</x:v>
      </x:c>
      <x:c r="X8" s="74" t="n">
        <x:f>'Marketing &amp; Revenue Pipeline'!X45+W18-X18</x:f>
        <x:v>0.33953376320169293</x:v>
      </x:c>
      <x:c r="Y8" s="74" t="n">
        <x:f>'Marketing &amp; Revenue Pipeline'!Y45+X18-Y18</x:f>
        <x:v>0.3958763651167094</x:v>
      </x:c>
    </x:row>
    <x:row r="9" ht="15" hidden="0" customHeight="1">
      <x:c r="A9" t="str">
        <x:v>Seed Funding</x:v>
      </x:c>
      <x:c r="B9" s="74" t="n">
        <x:f>IF(COLUMN()-1=1,'Assumptions'!$C$5,0)</x:f>
        <x:v>1000</x:v>
      </x:c>
      <x:c r="C9" s="74" t="n">
        <x:f>IF(COLUMN()-1=1,'Assumptions'!$C$5,0)</x:f>
        <x:v>0</x:v>
      </x:c>
      <x:c r="D9" s="74" t="n">
        <x:f>IF(COLUMN()-1=1,'Assumptions'!$C$5,0)</x:f>
        <x:v>0</x:v>
      </x:c>
      <x:c r="E9" s="74" t="n">
        <x:f>IF(COLUMN()-1=1,'Assumptions'!$C$5,0)</x:f>
        <x:v>0</x:v>
      </x:c>
      <x:c r="F9" s="74" t="n">
        <x:f>IF(COLUMN()-1=1,'Assumptions'!$C$5,0)</x:f>
        <x:v>0</x:v>
      </x:c>
      <x:c r="G9" s="74" t="n">
        <x:f>IF(COLUMN()-1=1,'Assumptions'!$C$5,0)</x:f>
        <x:v>0</x:v>
      </x:c>
      <x:c r="H9" s="74" t="n">
        <x:f>IF(COLUMN()-1=1,'Assumptions'!$C$5,0)</x:f>
        <x:v>0</x:v>
      </x:c>
      <x:c r="I9" s="74" t="n">
        <x:f>IF(COLUMN()-1=1,'Assumptions'!$C$5,0)</x:f>
        <x:v>0</x:v>
      </x:c>
      <x:c r="J9" s="74" t="n">
        <x:f>IF(COLUMN()-1=1,'Assumptions'!$C$5,0)</x:f>
        <x:v>0</x:v>
      </x:c>
      <x:c r="K9" s="74" t="n">
        <x:f>IF(COLUMN()-1=1,'Assumptions'!$C$5,0)</x:f>
        <x:v>0</x:v>
      </x:c>
      <x:c r="L9" s="74" t="n">
        <x:f>IF(COLUMN()-1=1,'Assumptions'!$C$5,0)</x:f>
        <x:v>0</x:v>
      </x:c>
      <x:c r="M9" s="74" t="n">
        <x:f>IF(COLUMN()-1=1,'Assumptions'!$C$5,0)</x:f>
        <x:v>0</x:v>
      </x:c>
      <x:c r="N9" s="74" t="n">
        <x:f>IF(COLUMN()-1=1,'Assumptions'!$C$5,0)</x:f>
        <x:v>0</x:v>
      </x:c>
      <x:c r="O9" s="74" t="n">
        <x:f>IF(COLUMN()-1=1,'Assumptions'!$C$5,0)</x:f>
        <x:v>0</x:v>
      </x:c>
      <x:c r="P9" s="74" t="n">
        <x:f>IF(COLUMN()-1=1,'Assumptions'!$C$5,0)</x:f>
        <x:v>0</x:v>
      </x:c>
      <x:c r="Q9" s="74" t="n">
        <x:f>IF(COLUMN()-1=1,'Assumptions'!$C$5,0)</x:f>
        <x:v>0</x:v>
      </x:c>
      <x:c r="R9" s="74" t="n">
        <x:f>IF(COLUMN()-1=1,'Assumptions'!$C$5,0)</x:f>
        <x:v>0</x:v>
      </x:c>
      <x:c r="S9" s="74" t="n">
        <x:f>IF(COLUMN()-1=1,'Assumptions'!$C$5,0)</x:f>
        <x:v>0</x:v>
      </x:c>
      <x:c r="T9" s="74" t="n">
        <x:f>IF(COLUMN()-1=1,'Assumptions'!$C$5,0)</x:f>
        <x:v>0</x:v>
      </x:c>
      <x:c r="U9" s="74" t="n">
        <x:f>IF(COLUMN()-1=1,'Assumptions'!$C$5,0)</x:f>
        <x:v>0</x:v>
      </x:c>
      <x:c r="V9" s="74" t="n">
        <x:f>IF(COLUMN()-1=1,'Assumptions'!$C$5,0)</x:f>
        <x:v>0</x:v>
      </x:c>
      <x:c r="W9" s="74" t="n">
        <x:f>IF(COLUMN()-1=1,'Assumptions'!$C$5,0)</x:f>
        <x:v>0</x:v>
      </x:c>
      <x:c r="X9" s="74" t="n">
        <x:f>IF(COLUMN()-1=1,'Assumptions'!$C$5,0)</x:f>
        <x:v>0</x:v>
      </x:c>
      <x:c r="Y9" s="74" t="n">
        <x:f>IF(COLUMN()-1=1,'Assumptions'!$C$5,0)</x:f>
        <x:v>0</x:v>
      </x:c>
    </x:row>
    <x:row r="10" ht="15" hidden="0" customHeight="1">
      <x:c r="A10" t="str">
        <x:v>Business &amp; Operations Team</x:v>
      </x:c>
      <x:c r="B10" s="77" t="n">
        <x:v>2.5</x:v>
      </x:c>
      <x:c r="C10" s="77" t="n">
        <x:v>2.5</x:v>
      </x:c>
      <x:c r="D10" s="77" t="n">
        <x:v>2.5</x:v>
      </x:c>
      <x:c r="E10" s="77" t="n">
        <x:v>2.5</x:v>
      </x:c>
      <x:c r="F10" s="77" t="n">
        <x:v>2.5</x:v>
      </x:c>
      <x:c r="G10" s="77" t="n">
        <x:v>2.5</x:v>
      </x:c>
      <x:c r="H10" s="77" t="n">
        <x:v>3.5</x:v>
      </x:c>
      <x:c r="I10" s="77" t="n">
        <x:v>3.5</x:v>
      </x:c>
      <x:c r="J10" s="77" t="n">
        <x:v>3.5</x:v>
      </x:c>
      <x:c r="K10" s="77" t="n">
        <x:v>3.5</x:v>
      </x:c>
      <x:c r="L10" s="77" t="n">
        <x:v>3.5</x:v>
      </x:c>
      <x:c r="M10" s="77" t="n">
        <x:v>3.5</x:v>
      </x:c>
      <x:c r="N10" s="77" t="n">
        <x:v>4.5</x:v>
      </x:c>
      <x:c r="O10" s="77" t="n">
        <x:v>4.5</x:v>
      </x:c>
      <x:c r="P10" s="77" t="n">
        <x:v>4.5</x:v>
      </x:c>
      <x:c r="Q10" s="77" t="n">
        <x:v>4.5</x:v>
      </x:c>
      <x:c r="R10" s="77" t="n">
        <x:v>4.5</x:v>
      </x:c>
      <x:c r="S10" s="77" t="n">
        <x:v>4.5</x:v>
      </x:c>
      <x:c r="T10" s="77" t="n">
        <x:v>4.5</x:v>
      </x:c>
      <x:c r="U10" s="77" t="n">
        <x:v>4.5</x:v>
      </x:c>
      <x:c r="V10" s="77" t="n">
        <x:v>4.5</x:v>
      </x:c>
      <x:c r="W10" s="77" t="n">
        <x:v>4.5</x:v>
      </x:c>
      <x:c r="X10" s="77" t="n">
        <x:v>4.5</x:v>
      </x:c>
      <x:c r="Y10" s="77" t="n">
        <x:v>4.5</x:v>
      </x:c>
    </x:row>
    <x:row r="11" ht="15" hidden="0" customHeight="1">
      <x:c r="A11" t="str">
        <x:v>G&amp;A / Administration</x:v>
      </x:c>
      <x:c r="B11" s="77" t="n">
        <x:v>1.5</x:v>
      </x:c>
      <x:c r="C11" s="77" t="n">
        <x:v>1.5</x:v>
      </x:c>
      <x:c r="D11" s="77" t="n">
        <x:v>1.5</x:v>
      </x:c>
      <x:c r="E11" s="77" t="n">
        <x:v>1.5</x:v>
      </x:c>
      <x:c r="F11" s="77" t="n">
        <x:v>1.5</x:v>
      </x:c>
      <x:c r="G11" s="77" t="n">
        <x:v>1.5</x:v>
      </x:c>
      <x:c r="H11" s="77" t="n">
        <x:v>2.25</x:v>
      </x:c>
      <x:c r="I11" s="77" t="n">
        <x:v>2.25</x:v>
      </x:c>
      <x:c r="J11" s="77" t="n">
        <x:v>2.25</x:v>
      </x:c>
      <x:c r="K11" s="77" t="n">
        <x:v>2.25</x:v>
      </x:c>
      <x:c r="L11" s="77" t="n">
        <x:v>2.25</x:v>
      </x:c>
      <x:c r="M11" s="77" t="n">
        <x:v>2.25</x:v>
      </x:c>
      <x:c r="N11" s="77" t="n">
        <x:v>3.125</x:v>
      </x:c>
      <x:c r="O11" s="77" t="n">
        <x:v>3.125</x:v>
      </x:c>
      <x:c r="P11" s="77" t="n">
        <x:v>3.125</x:v>
      </x:c>
      <x:c r="Q11" s="77" t="n">
        <x:v>3.125</x:v>
      </x:c>
      <x:c r="R11" s="77" t="n">
        <x:v>3.125</x:v>
      </x:c>
      <x:c r="S11" s="77" t="n">
        <x:v>3.125</x:v>
      </x:c>
      <x:c r="T11" s="77" t="n">
        <x:v>3.125</x:v>
      </x:c>
      <x:c r="U11" s="77" t="n">
        <x:v>3.125</x:v>
      </x:c>
      <x:c r="V11" s="77" t="n">
        <x:v>3.125</x:v>
      </x:c>
      <x:c r="W11" s="77" t="n">
        <x:v>3.125</x:v>
      </x:c>
      <x:c r="X11" s="77" t="n">
        <x:v>3.125</x:v>
      </x:c>
      <x:c r="Y11" s="77" t="n">
        <x:v>3.125</x:v>
      </x:c>
    </x:row>
    <x:row r="12" ht="15" hidden="0" customHeight="1">
      <x:c r="A12" t="str">
        <x:v>Operating Cash Costs</x:v>
      </x:c>
      <x:c r="B12" s="74" t="n">
        <x:f>'Cost of Service'!B14</x:f>
        <x:v>0.05007280850000001</x:v>
      </x:c>
      <x:c r="C12" s="74" t="n">
        <x:f>'Cost of Service'!C14</x:f>
        <x:v>0.13054981318178951</x:v>
      </x:c>
      <x:c r="D12" s="74" t="n">
        <x:f>'Cost of Service'!D14</x:f>
        <x:v>0.23342058378701955</x:v>
      </x:c>
      <x:c r="E12" s="74" t="n">
        <x:f>'Cost of Service'!E14</x:f>
        <x:v>0.3354670541701324</x:v>
      </x:c>
      <x:c r="F12" s="74" t="n">
        <x:f>'Cost of Service'!F14</x:f>
        <x:v>0.45124928386058605</x:v>
      </x:c>
      <x:c r="G12" s="74" t="n">
        <x:f>'Cost of Service'!G14</x:f>
        <x:v>0.580833338813012</x:v>
      </x:c>
      <x:c r="H12" s="74" t="n">
        <x:f>'Cost of Service'!H14</x:f>
        <x:v>0.7231048211342154</x:v>
      </x:c>
      <x:c r="I12" s="74" t="n">
        <x:f>'Cost of Service'!I14</x:f>
        <x:v>0.8773639183223064</x:v>
      </x:c>
      <x:c r="J12" s="74" t="n">
        <x:f>'Cost of Service'!J14</x:f>
        <x:v>1.043611795901859</x:v>
      </x:c>
      <x:c r="K12" s="74" t="n">
        <x:f>'Cost of Service'!K14</x:f>
        <x:v>1.2217656023842156</x:v>
      </x:c>
      <x:c r="L12" s="74" t="n">
        <x:f>'Cost of Service'!L14</x:f>
        <x:v>1.4044118698621613</x:v>
      </x:c>
      <x:c r="M12" s="74" t="n">
        <x:f>'Cost of Service'!M14</x:f>
        <x:v>1.5977826902544114</x:v>
      </x:c>
      <x:c r="N12" s="74" t="n">
        <x:f>'Cost of Service'!N14</x:f>
        <x:v>1.8321687615170132</x:v>
      </x:c>
      <x:c r="O12" s="74" t="n">
        <x:f>'Cost of Service'!O14</x:f>
        <x:v>2.1031779068541274</x:v>
      </x:c>
      <x:c r="P12" s="74" t="n">
        <x:f>'Cost of Service'!P14</x:f>
        <x:v>2.395547894921235</x:v>
      </x:c>
      <x:c r="Q12" s="74" t="n">
        <x:f>'Cost of Service'!Q14</x:f>
        <x:v>2.707911558374292</x:v>
      </x:c>
      <x:c r="R12" s="74" t="n">
        <x:f>'Cost of Service'!R14</x:f>
        <x:v>3.0556987075551354</x:v>
      </x:c>
      <x:c r="S12" s="74" t="n">
        <x:f>'Cost of Service'!S14</x:f>
        <x:v>3.42382038310649</x:v>
      </x:c>
      <x:c r="T12" s="74" t="n">
        <x:f>'Cost of Service'!T14</x:f>
        <x:v>3.7130112452372406</x:v>
      </x:c>
      <x:c r="U12" s="74" t="n">
        <x:f>'Cost of Service'!U14</x:f>
        <x:v>4.010906828198802</x:v>
      </x:c>
      <x:c r="V12" s="74" t="n">
        <x:f>'Cost of Service'!V14</x:f>
        <x:v>4.325797148664146</x:v>
      </x:c>
      <x:c r="W12" s="74" t="n">
        <x:f>'Cost of Service'!W14</x:f>
        <x:v>4.639873486304348</x:v>
      </x:c>
      <x:c r="X12" s="74" t="n">
        <x:f>'Cost of Service'!X14</x:f>
        <x:v>4.957820198948488</x:v>
      </x:c>
      <x:c r="Y12" s="74" t="n">
        <x:f>'Cost of Service'!Y14</x:f>
        <x:v>5.270856141865942</x:v>
      </x:c>
    </x:row>
    <x:row r="13" ht="15" hidden="0" customHeight="1">
      <x:c r="A13" t="str">
        <x:v>GTM Cash Spend</x:v>
      </x:c>
      <x:c r="B13" s="74" t="n">
        <x:f>'Marketing &amp; Revenue Pipeline'!B27</x:f>
        <x:v>2.67</x:v>
      </x:c>
      <x:c r="C13" s="74" t="n">
        <x:f>'Marketing &amp; Revenue Pipeline'!C27</x:f>
        <x:v>2.73</x:v>
      </x:c>
      <x:c r="D13" s="74" t="n">
        <x:f>'Marketing &amp; Revenue Pipeline'!D27</x:f>
        <x:v>2.4</x:v>
      </x:c>
      <x:c r="E13" s="74" t="n">
        <x:f>'Marketing &amp; Revenue Pipeline'!E27</x:f>
        <x:v>0.93</x:v>
      </x:c>
      <x:c r="F13" s="74" t="n">
        <x:f>'Marketing &amp; Revenue Pipeline'!F27</x:f>
        <x:v>0.345</x:v>
      </x:c>
      <x:c r="G13" s="74" t="n">
        <x:f>'Marketing &amp; Revenue Pipeline'!G27</x:f>
        <x:v>0</x:v>
      </x:c>
      <x:c r="H13" s="74" t="n">
        <x:f>'Marketing &amp; Revenue Pipeline'!H27</x:f>
        <x:v>0.3125</x:v>
      </x:c>
      <x:c r="I13" s="74" t="n">
        <x:f>'Marketing &amp; Revenue Pipeline'!I27</x:f>
        <x:v>0.625</x:v>
      </x:c>
      <x:c r="J13" s="74" t="n">
        <x:f>'Marketing &amp; Revenue Pipeline'!J27</x:f>
        <x:v>0.9375</x:v>
      </x:c>
      <x:c r="K13" s="74" t="n">
        <x:f>'Marketing &amp; Revenue Pipeline'!K27</x:f>
        <x:v>1.25</x:v>
      </x:c>
      <x:c r="L13" s="74" t="n">
        <x:f>'Marketing &amp; Revenue Pipeline'!L27</x:f>
        <x:v>1.25</x:v>
      </x:c>
      <x:c r="M13" s="74" t="n">
        <x:f>'Marketing &amp; Revenue Pipeline'!M27</x:f>
        <x:v>1.5625</x:v>
      </x:c>
      <x:c r="N13" s="74" t="n">
        <x:f>'Marketing &amp; Revenue Pipeline'!N27</x:f>
        <x:v>2.0125</x:v>
      </x:c>
      <x:c r="O13" s="74" t="n">
        <x:f>'Marketing &amp; Revenue Pipeline'!O27</x:f>
        <x:v>2.9375</x:v>
      </x:c>
      <x:c r="P13" s="74" t="n">
        <x:f>'Marketing &amp; Revenue Pipeline'!P27</x:f>
        <x:v>3.4000000000000004</x:v>
      </x:c>
      <x:c r="Q13" s="74" t="n">
        <x:f>'Marketing &amp; Revenue Pipeline'!Q27</x:f>
        <x:v>3.8625</x:v>
      </x:c>
      <x:c r="R13" s="74" t="n">
        <x:f>'Marketing &amp; Revenue Pipeline'!R27</x:f>
        <x:v>4.7875</x:v>
      </x:c>
      <x:c r="S13" s="74" t="n">
        <x:f>'Marketing &amp; Revenue Pipeline'!S27</x:f>
        <x:v>5.25</x:v>
      </x:c>
      <x:c r="T13" s="74" t="n">
        <x:f>'Marketing &amp; Revenue Pipeline'!T27</x:f>
        <x:v>3.5265</x:v>
      </x:c>
      <x:c r="U13" s="74" t="n">
        <x:f>'Marketing &amp; Revenue Pipeline'!U27</x:f>
        <x:v>5.096</x:v>
      </x:c>
      <x:c r="V13" s="74" t="n">
        <x:f>'Marketing &amp; Revenue Pipeline'!V27</x:f>
        <x:v>6.3775</x:v>
      </x:c>
      <x:c r="W13" s="74" t="n">
        <x:f>'Marketing &amp; Revenue Pipeline'!W27</x:f>
        <x:v>6.3775</x:v>
      </x:c>
      <x:c r="X13" s="74" t="n">
        <x:f>'Marketing &amp; Revenue Pipeline'!X27</x:f>
        <x:v>6.58625</x:v>
      </x:c>
      <x:c r="Y13" s="74" t="n">
        <x:f>'Marketing &amp; Revenue Pipeline'!Y27</x:f>
        <x:v>6.58625</x:v>
      </x:c>
    </x:row>
    <x:row r="14" ht="15" hidden="0" customHeight="1">
      <x:c r="A14" t="str">
        <x:v>Technology Cash Investment</x:v>
      </x:c>
      <x:c r="B14" s="74" t="n">
        <x:f>'Technology &amp; Product Investment'!B6+'Technology &amp; Product Investment'!B7+'Technology &amp; Product Investment'!B8+'Technology &amp; Product Investment'!B9</x:f>
        <x:v>6.65</x:v>
      </x:c>
      <x:c r="C14" s="74" t="n">
        <x:f>'Technology &amp; Product Investment'!C6+'Technology &amp; Product Investment'!C7+'Technology &amp; Product Investment'!C8+'Technology &amp; Product Investment'!C9</x:f>
        <x:v>10.65</x:v>
      </x:c>
      <x:c r="D14" s="74" t="n">
        <x:f>'Technology &amp; Product Investment'!D6+'Technology &amp; Product Investment'!D7+'Technology &amp; Product Investment'!D8+'Technology &amp; Product Investment'!D9</x:f>
        <x:v>6.65</x:v>
      </x:c>
      <x:c r="E14" s="74" t="n">
        <x:f>'Technology &amp; Product Investment'!E6+'Technology &amp; Product Investment'!E7+'Technology &amp; Product Investment'!E8+'Technology &amp; Product Investment'!E9</x:f>
        <x:v>7.6499999999999995</x:v>
      </x:c>
      <x:c r="F14" s="74" t="n">
        <x:f>'Technology &amp; Product Investment'!F6+'Technology &amp; Product Investment'!F7+'Technology &amp; Product Investment'!F8+'Technology &amp; Product Investment'!F9</x:f>
        <x:v>13.649999999999999</x:v>
      </x:c>
      <x:c r="G14" s="74" t="n">
        <x:f>'Technology &amp; Product Investment'!G6+'Technology &amp; Product Investment'!G7+'Technology &amp; Product Investment'!G8+'Technology &amp; Product Investment'!G9</x:f>
        <x:v>11.649999999999999</x:v>
      </x:c>
      <x:c r="H14" s="74" t="n">
        <x:f>'Technology &amp; Product Investment'!H6+'Technology &amp; Product Investment'!H7+'Technology &amp; Product Investment'!H8+'Technology &amp; Product Investment'!H9</x:f>
        <x:v>8.5</x:v>
      </x:c>
      <x:c r="I14" s="74" t="n">
        <x:f>'Technology &amp; Product Investment'!I6+'Technology &amp; Product Investment'!I7+'Technology &amp; Product Investment'!I8+'Technology &amp; Product Investment'!I9</x:f>
        <x:v>13.5</x:v>
      </x:c>
      <x:c r="J14" s="74" t="n">
        <x:f>'Technology &amp; Product Investment'!J6+'Technology &amp; Product Investment'!J7+'Technology &amp; Product Investment'!J8+'Technology &amp; Product Investment'!J9</x:f>
        <x:v>8.5</x:v>
      </x:c>
      <x:c r="K14" s="74" t="n">
        <x:f>'Technology &amp; Product Investment'!K6+'Technology &amp; Product Investment'!K7+'Technology &amp; Product Investment'!K8+'Technology &amp; Product Investment'!K9</x:f>
        <x:v>8.5</x:v>
      </x:c>
      <x:c r="L14" s="74" t="n">
        <x:f>'Technology &amp; Product Investment'!L6+'Technology &amp; Product Investment'!L7+'Technology &amp; Product Investment'!L8+'Technology &amp; Product Investment'!L9</x:f>
        <x:v>8.5</x:v>
      </x:c>
      <x:c r="M14" s="74" t="n">
        <x:f>'Technology &amp; Product Investment'!M6+'Technology &amp; Product Investment'!M7+'Technology &amp; Product Investment'!M8+'Technology &amp; Product Investment'!M9</x:f>
        <x:v>13.5</x:v>
      </x:c>
      <x:c r="N14" s="74" t="n">
        <x:f>'Technology &amp; Product Investment'!N6+'Technology &amp; Product Investment'!N7+'Technology &amp; Product Investment'!N8+'Technology &amp; Product Investment'!N9</x:f>
        <x:v>9.966666666666667</x:v>
      </x:c>
      <x:c r="O14" s="74" t="n">
        <x:f>'Technology &amp; Product Investment'!O6+'Technology &amp; Product Investment'!O7+'Technology &amp; Product Investment'!O8+'Technology &amp; Product Investment'!O9</x:f>
        <x:v>9.966666666666667</x:v>
      </x:c>
      <x:c r="P14" s="74" t="n">
        <x:f>'Technology &amp; Product Investment'!P6+'Technology &amp; Product Investment'!P7+'Technology &amp; Product Investment'!P8+'Technology &amp; Product Investment'!P9</x:f>
        <x:v>9.966666666666667</x:v>
      </x:c>
      <x:c r="Q14" s="74" t="n">
        <x:f>'Technology &amp; Product Investment'!Q6+'Technology &amp; Product Investment'!Q7+'Technology &amp; Product Investment'!Q8+'Technology &amp; Product Investment'!Q9</x:f>
        <x:v>9.966666666666667</x:v>
      </x:c>
      <x:c r="R14" s="74" t="n">
        <x:f>'Technology &amp; Product Investment'!R6+'Technology &amp; Product Investment'!R7+'Technology &amp; Product Investment'!R8+'Technology &amp; Product Investment'!R9</x:f>
        <x:v>9.966666666666667</x:v>
      </x:c>
      <x:c r="S14" s="74" t="n">
        <x:f>'Technology &amp; Product Investment'!S6+'Technology &amp; Product Investment'!S7+'Technology &amp; Product Investment'!S8+'Technology &amp; Product Investment'!S9</x:f>
        <x:v>19.96666666666667</x:v>
      </x:c>
      <x:c r="T14" s="74" t="n">
        <x:f>'Technology &amp; Product Investment'!T6+'Technology &amp; Product Investment'!T7+'Technology &amp; Product Investment'!T8+'Technology &amp; Product Investment'!T9</x:f>
        <x:v>9.966666666666667</x:v>
      </x:c>
      <x:c r="U14" s="74" t="n">
        <x:f>'Technology &amp; Product Investment'!U6+'Technology &amp; Product Investment'!U7+'Technology &amp; Product Investment'!U8+'Technology &amp; Product Investment'!U9</x:f>
        <x:v>9.966666666666667</x:v>
      </x:c>
      <x:c r="V14" s="74" t="n">
        <x:f>'Technology &amp; Product Investment'!V6+'Technology &amp; Product Investment'!V7+'Technology &amp; Product Investment'!V8+'Technology &amp; Product Investment'!V9</x:f>
        <x:v>9.966666666666667</x:v>
      </x:c>
      <x:c r="W14" s="74" t="n">
        <x:f>'Technology &amp; Product Investment'!W6+'Technology &amp; Product Investment'!W7+'Technology &amp; Product Investment'!W8+'Technology &amp; Product Investment'!W9</x:f>
        <x:v>9.966666666666667</x:v>
      </x:c>
      <x:c r="X14" s="74" t="n">
        <x:f>'Technology &amp; Product Investment'!X6+'Technology &amp; Product Investment'!X7+'Technology &amp; Product Investment'!X8+'Technology &amp; Product Investment'!X9</x:f>
        <x:v>9.966666666666667</x:v>
      </x:c>
      <x:c r="Y14" s="74" t="n">
        <x:f>'Technology &amp; Product Investment'!Y6+'Technology &amp; Product Investment'!Y7+'Technology &amp; Product Investment'!Y8+'Technology &amp; Product Investment'!Y9</x:f>
        <x:v>19.96666666666667</x:v>
      </x:c>
    </x:row>
    <x:row r="15" ht="15" hidden="0" customHeight="1">
      <x:c r="A15" t="str">
        <x:v>Capex</x:v>
      </x:c>
      <x:c r="B15" s="74" t="n">
        <x:f>'Technology &amp; Product Investment'!B10</x:f>
        <x:v>0</x:v>
      </x:c>
      <x:c r="C15" s="74" t="n">
        <x:f>'Technology &amp; Product Investment'!C10</x:f>
        <x:v>5</x:v>
      </x:c>
      <x:c r="D15" s="74" t="n">
        <x:f>'Technology &amp; Product Investment'!D10</x:f>
        <x:v>0</x:v>
      </x:c>
      <x:c r="E15" s="74" t="n">
        <x:f>'Technology &amp; Product Investment'!E10</x:f>
        <x:v>0</x:v>
      </x:c>
      <x:c r="F15" s="74" t="n">
        <x:f>'Technology &amp; Product Investment'!F10</x:f>
        <x:v>0</x:v>
      </x:c>
      <x:c r="G15" s="74" t="n">
        <x:f>'Technology &amp; Product Investment'!G10</x:f>
        <x:v>0</x:v>
      </x:c>
      <x:c r="H15" s="74" t="n">
        <x:f>'Technology &amp; Product Investment'!H10</x:f>
        <x:v>3</x:v>
      </x:c>
      <x:c r="I15" s="74" t="n">
        <x:f>'Technology &amp; Product Investment'!I10</x:f>
        <x:v>0</x:v>
      </x:c>
      <x:c r="J15" s="74" t="n">
        <x:f>'Technology &amp; Product Investment'!J10</x:f>
        <x:v>0</x:v>
      </x:c>
      <x:c r="K15" s="74" t="n">
        <x:f>'Technology &amp; Product Investment'!K10</x:f>
        <x:v>0</x:v>
      </x:c>
      <x:c r="L15" s="74" t="n">
        <x:f>'Technology &amp; Product Investment'!L10</x:f>
        <x:v>0</x:v>
      </x:c>
      <x:c r="M15" s="74" t="n">
        <x:f>'Technology &amp; Product Investment'!M10</x:f>
        <x:v>0</x:v>
      </x:c>
      <x:c r="N15" s="74" t="n">
        <x:f>'Technology &amp; Product Investment'!N10</x:f>
        <x:v>2</x:v>
      </x:c>
      <x:c r="O15" s="74" t="n">
        <x:f>'Technology &amp; Product Investment'!O10</x:f>
        <x:v>0</x:v>
      </x:c>
      <x:c r="P15" s="74" t="n">
        <x:f>'Technology &amp; Product Investment'!P10</x:f>
        <x:v>0</x:v>
      </x:c>
      <x:c r="Q15" s="74" t="n">
        <x:f>'Technology &amp; Product Investment'!Q10</x:f>
        <x:v>0</x:v>
      </x:c>
      <x:c r="R15" s="74" t="n">
        <x:f>'Technology &amp; Product Investment'!R10</x:f>
        <x:v>0</x:v>
      </x:c>
      <x:c r="S15" s="74" t="n">
        <x:f>'Technology &amp; Product Investment'!S10</x:f>
        <x:v>0</x:v>
      </x:c>
      <x:c r="T15" s="74" t="n">
        <x:f>'Technology &amp; Product Investment'!T10</x:f>
        <x:v>0</x:v>
      </x:c>
      <x:c r="U15" s="74" t="n">
        <x:f>'Technology &amp; Product Investment'!U10</x:f>
        <x:v>0</x:v>
      </x:c>
      <x:c r="V15" s="74" t="n">
        <x:f>'Technology &amp; Product Investment'!V10</x:f>
        <x:v>0</x:v>
      </x:c>
      <x:c r="W15" s="74" t="n">
        <x:f>'Technology &amp; Product Investment'!W10</x:f>
        <x:v>0</x:v>
      </x:c>
      <x:c r="X15" s="74" t="n">
        <x:f>'Technology &amp; Product Investment'!X10</x:f>
        <x:v>0</x:v>
      </x:c>
      <x:c r="Y15" s="74" t="n">
        <x:f>'Technology &amp; Product Investment'!Y10</x:f>
        <x:v>0</x:v>
      </x:c>
    </x:row>
    <x:row r="16" ht="15" hidden="0" customHeight="1">
      <x:c r="A16" t="str">
        <x:v>Compliance Cash Spend</x:v>
      </x:c>
      <x:c r="B16" s="74" t="n">
        <x:f>'Compliance &amp; Regulatory'!B11</x:f>
        <x:v>8.6</x:v>
      </x:c>
      <x:c r="C16" s="74" t="n">
        <x:f>'Compliance &amp; Regulatory'!C11</x:f>
        <x:v>8.6</x:v>
      </x:c>
      <x:c r="D16" s="74" t="n">
        <x:f>'Compliance &amp; Regulatory'!D11</x:f>
        <x:v>13.6</x:v>
      </x:c>
      <x:c r="E16" s="74" t="n">
        <x:f>'Compliance &amp; Regulatory'!E11</x:f>
        <x:v>5.6</x:v>
      </x:c>
      <x:c r="F16" s="74" t="n">
        <x:f>'Compliance &amp; Regulatory'!F11</x:f>
        <x:v>0.6</x:v>
      </x:c>
      <x:c r="G16" s="74" t="n">
        <x:f>'Compliance &amp; Regulatory'!G11</x:f>
        <x:v>0.6</x:v>
      </x:c>
      <x:c r="H16" s="74" t="n">
        <x:f>'Compliance &amp; Regulatory'!H11</x:f>
        <x:v>0.6</x:v>
      </x:c>
      <x:c r="I16" s="74" t="n">
        <x:f>'Compliance &amp; Regulatory'!I11</x:f>
        <x:v>0.6</x:v>
      </x:c>
      <x:c r="J16" s="74" t="n">
        <x:f>'Compliance &amp; Regulatory'!J11</x:f>
        <x:v>0.6</x:v>
      </x:c>
      <x:c r="K16" s="74" t="n">
        <x:f>'Compliance &amp; Regulatory'!K11</x:f>
        <x:v>0.6</x:v>
      </x:c>
      <x:c r="L16" s="74" t="n">
        <x:f>'Compliance &amp; Regulatory'!L11</x:f>
        <x:v>0.6</x:v>
      </x:c>
      <x:c r="M16" s="74" t="n">
        <x:f>'Compliance &amp; Regulatory'!M11</x:f>
        <x:v>6.6</x:v>
      </x:c>
      <x:c r="N16" s="74" t="n">
        <x:f>'Compliance &amp; Regulatory'!N11</x:f>
        <x:v>0.6</x:v>
      </x:c>
      <x:c r="O16" s="74" t="n">
        <x:f>'Compliance &amp; Regulatory'!O11</x:f>
        <x:v>0.6</x:v>
      </x:c>
      <x:c r="P16" s="74" t="n">
        <x:f>'Compliance &amp; Regulatory'!P11</x:f>
        <x:v>0.6</x:v>
      </x:c>
      <x:c r="Q16" s="74" t="n">
        <x:f>'Compliance &amp; Regulatory'!Q11</x:f>
        <x:v>0.6</x:v>
      </x:c>
      <x:c r="R16" s="74" t="n">
        <x:f>'Compliance &amp; Regulatory'!R11</x:f>
        <x:v>0.6</x:v>
      </x:c>
      <x:c r="S16" s="74" t="n">
        <x:f>'Compliance &amp; Regulatory'!S11</x:f>
        <x:v>0.6</x:v>
      </x:c>
      <x:c r="T16" s="74" t="n">
        <x:f>'Compliance &amp; Regulatory'!T11</x:f>
        <x:v>0.6</x:v>
      </x:c>
      <x:c r="U16" s="74" t="n">
        <x:f>'Compliance &amp; Regulatory'!U11</x:f>
        <x:v>5.6</x:v>
      </x:c>
      <x:c r="V16" s="74" t="n">
        <x:f>'Compliance &amp; Regulatory'!V11</x:f>
        <x:v>0.6</x:v>
      </x:c>
      <x:c r="W16" s="74" t="n">
        <x:f>'Compliance &amp; Regulatory'!W11</x:f>
        <x:v>0.6</x:v>
      </x:c>
      <x:c r="X16" s="74" t="n">
        <x:f>'Compliance &amp; Regulatory'!X11</x:f>
        <x:v>0.6</x:v>
      </x:c>
      <x:c r="Y16" s="74" t="n">
        <x:f>'Compliance &amp; Regulatory'!Y11</x:f>
        <x:v>1.6</x:v>
      </x:c>
    </x:row>
    <x:row r="17" ht="15" hidden="0" customHeight="1">
      <x:c r="A17" t="str">
        <x:v>Taxes Paid</x:v>
      </x:c>
      <x:c r="B17" s="74" t="n">
        <x:f>0</x:f>
        <x:v>0</x:v>
      </x:c>
      <x:c r="C17" s="74" t="n">
        <x:f>B21</x:f>
        <x:v>0</x:v>
      </x:c>
      <x:c r="D17" s="74" t="n">
        <x:f>C21</x:f>
        <x:v>0</x:v>
      </x:c>
      <x:c r="E17" s="74" t="n">
        <x:f>D21</x:f>
        <x:v>0</x:v>
      </x:c>
      <x:c r="F17" s="74" t="n">
        <x:f>E21</x:f>
        <x:v>0</x:v>
      </x:c>
      <x:c r="G17" s="74" t="n">
        <x:f>F21</x:f>
        <x:v>0</x:v>
      </x:c>
      <x:c r="H17" s="74" t="n">
        <x:f>G21</x:f>
        <x:v>0</x:v>
      </x:c>
      <x:c r="I17" s="74" t="n">
        <x:f>H21</x:f>
        <x:v>0</x:v>
      </x:c>
      <x:c r="J17" s="74" t="n">
        <x:f>I21</x:f>
        <x:v>0</x:v>
      </x:c>
      <x:c r="K17" s="74" t="n">
        <x:f>J21</x:f>
        <x:v>0</x:v>
      </x:c>
      <x:c r="L17" s="74" t="n">
        <x:f>K21</x:f>
        <x:v>0</x:v>
      </x:c>
      <x:c r="M17" s="74" t="n">
        <x:f>L21</x:f>
        <x:v>0</x:v>
      </x:c>
      <x:c r="N17" s="74" t="n">
        <x:f>M21</x:f>
        <x:v>0</x:v>
      </x:c>
      <x:c r="O17" s="74" t="n">
        <x:f>N21</x:f>
        <x:v>0</x:v>
      </x:c>
      <x:c r="P17" s="74" t="n">
        <x:f>O21</x:f>
        <x:v>0</x:v>
      </x:c>
      <x:c r="Q17" s="74" t="n">
        <x:f>P21</x:f>
        <x:v>0</x:v>
      </x:c>
      <x:c r="R17" s="74" t="n">
        <x:f>Q21</x:f>
        <x:v>0</x:v>
      </x:c>
      <x:c r="S17" s="74" t="n">
        <x:f>R21</x:f>
        <x:v>0</x:v>
      </x:c>
      <x:c r="T17" s="74" t="n">
        <x:f>S21</x:f>
        <x:v>0</x:v>
      </x:c>
      <x:c r="U17" s="74" t="n">
        <x:f>T21</x:f>
        <x:v>0</x:v>
      </x:c>
      <x:c r="V17" s="74" t="n">
        <x:f>U21</x:f>
        <x:v>0</x:v>
      </x:c>
      <x:c r="W17" s="74" t="n">
        <x:f>V21</x:f>
        <x:v>0</x:v>
      </x:c>
      <x:c r="X17" s="74" t="n">
        <x:f>W21</x:f>
        <x:v>0</x:v>
      </x:c>
      <x:c r="Y17" s="74" t="n">
        <x:f>X21</x:f>
        <x:v>0</x:v>
      </x:c>
    </x:row>
    <x:row r="18" ht="15" hidden="0" customHeight="1">
      <x:c r="A18" t="str">
        <x:v>Partner Receivables</x:v>
      </x:c>
      <x:c r="B18" s="74" t="n">
        <x:f>'Marketing &amp; Revenue Pipeline'!B45*'Assumptions'!$C$29/30</x:f>
        <x:v>0.0005625000000000001</x:v>
      </x:c>
      <x:c r="C18" s="74" t="n">
        <x:f>'Marketing &amp; Revenue Pipeline'!C45*'Assumptions'!$C$29/30</x:f>
        <x:v>0.0017136023670584366</x:v>
      </x:c>
      <x:c r="D18" s="74" t="n">
        <x:f>'Marketing &amp; Revenue Pipeline'!D45*'Assumptions'!$C$29/30</x:f>
        <x:v>0.0035528992356373803</x:v>
      </x:c>
      <x:c r="E18" s="74" t="n">
        <x:f>'Marketing &amp; Revenue Pipeline'!E45*'Assumptions'!$C$29/30</x:f>
        <x:v>0.005867789923563739</x:v>
      </x:c>
      <x:c r="F18" s="74" t="n">
        <x:f>'Marketing &amp; Revenue Pipeline'!F45*'Assumptions'!$C$29/30</x:f>
        <x:v>0.009043596408317582</x:v>
      </x:c>
      <x:c r="G18" s="74" t="n">
        <x:f>'Marketing &amp; Revenue Pipeline'!G45*'Assumptions'!$C$29/30</x:f>
        <x:v>0.013275268143338542</x:v>
      </x:c>
      <x:c r="H18" s="74" t="n">
        <x:f>'Marketing &amp; Revenue Pipeline'!H45*'Assumptions'!$C$29/30</x:f>
        <x:v>0.018783038649626046</x:v>
      </x:c>
      <x:c r="I18" s="74" t="n">
        <x:f>'Marketing &amp; Revenue Pipeline'!I45*'Assumptions'!$C$29/30</x:f>
        <x:v>0.025813881811457218</x:v>
      </x:c>
      <x:c r="J18" s="74" t="n">
        <x:f>'Marketing &amp; Revenue Pipeline'!J45*'Assumptions'!$C$29/30</x:f>
        <x:v>0.034642968172104875</x:v>
      </x:c>
      <x:c r="K18" s="74" t="n">
        <x:f>'Marketing &amp; Revenue Pipeline'!K45*'Assumptions'!$C$29/30</x:f>
        <x:v>0.045575121229555364</x:v>
      </x:c>
      <x:c r="L18" s="74" t="n">
        <x:f>'Marketing &amp; Revenue Pipeline'!L45*'Assumptions'!$C$29/30</x:f>
        <x:v>0.05861879443371414</x:v>
      </x:c>
      <x:c r="M18" s="74" t="n">
        <x:f>'Marketing &amp; Revenue Pipeline'!M45*'Assumptions'!$C$29/30</x:f>
        <x:v>0.07438111284622341</x:v>
      </x:c>
      <x:c r="N18" s="74" t="n">
        <x:f>'Marketing &amp; Revenue Pipeline'!N45*'Assumptions'!$C$29/30</x:f>
        <x:v>0.09493365250267118</x:v>
      </x:c>
      <x:c r="O18" s="74" t="n">
        <x:f>'Marketing &amp; Revenue Pipeline'!O45*'Assumptions'!$C$29/30</x:f>
        <x:v>0.12085490260540808</x:v>
      </x:c>
      <x:c r="P18" s="74" t="n">
        <x:f>'Marketing &amp; Revenue Pipeline'!P45*'Assumptions'!$C$29/30</x:f>
        <x:v>0.15210384646995975</x:v>
      </x:c>
      <x:c r="Q18" s="74" t="n">
        <x:f>'Marketing &amp; Revenue Pipeline'!Q45*'Assumptions'!$C$29/30</x:f>
        <x:v>0.18944957466918713</x:v>
      </x:c>
      <x:c r="R18" s="74" t="n">
        <x:f>'Marketing &amp; Revenue Pipeline'!R45*'Assumptions'!$C$29/30</x:f>
        <x:v>0.2350361428454015</x:v>
      </x:c>
      <x:c r="S18" s="74" t="n">
        <x:f>'Marketing &amp; Revenue Pipeline'!S45*'Assumptions'!$C$29/30</x:f>
        <x:v>0.2887441439960549</x:v>
      </x:c>
      <x:c r="T18" s="74" t="n">
        <x:f>'Marketing &amp; Revenue Pipeline'!T45*'Assumptions'!$C$29/30</x:f>
        <x:v>0.3420413079436181</x:v>
      </x:c>
      <x:c r="U18" s="74" t="n">
        <x:f>'Marketing &amp; Revenue Pipeline'!U45*'Assumptions'!$C$29/30</x:f>
        <x:v>0.40368517300895873</x:v>
      </x:c>
      <x:c r="V18" s="74" t="n">
        <x:f>'Marketing &amp; Revenue Pipeline'!V45*'Assumptions'!$C$29/30</x:f>
        <x:v>0.47467377332127886</x:v>
      </x:c>
      <x:c r="W18" s="74" t="n">
        <x:f>'Marketing &amp; Revenue Pipeline'!W45*'Assumptions'!$C$29/30</x:f>
        <x:v>0.5539925515739295</x:v>
      </x:c>
      <x:c r="X18" s="74" t="n">
        <x:f>'Marketing &amp; Revenue Pipeline'!X45*'Assumptions'!$C$29/30</x:f>
        <x:v>0.6433763651167094</x:v>
      </x:c>
      <x:c r="Y18" s="74" t="n">
        <x:f>'Marketing &amp; Revenue Pipeline'!Y45*'Assumptions'!$C$29/30</x:f>
        <x:v>0.7424999999999999</x:v>
      </x:c>
    </x:row>
    <x:row r="19" ht="15" hidden="0" customHeight="1">
      <x:c r="A19" t="str">
        <x:v>Prepaids / Current Assets</x:v>
      </x:c>
      <x:c r="B19" s="74" t="n">
        <x:f>(B12+B13+B14+B16+B10+B11)*'Assumptions'!$C$31</x:f>
        <x:v>1.098503640425</x:v>
      </x:c>
      <x:c r="C19" s="74" t="n">
        <x:f>(C12+C13+C14+C16+C10+C11)*'Assumptions'!$C$31</x:f>
        <x:v>1.3055274906590897</x:v>
      </x:c>
      <x:c r="D19" s="74" t="n">
        <x:f>(D12+D13+D14+D16+D10+D11)*'Assumptions'!$C$31</x:f>
        <x:v>1.3441710291893512</x:v>
      </x:c>
      <x:c r="E19" s="74" t="n">
        <x:f>(E12+E13+E14+E16+E10+E11)*'Assumptions'!$C$31</x:f>
        <x:v>0.9257733527085066</x:v>
      </x:c>
      <x:c r="F19" s="74" t="n">
        <x:f>(F12+F13+F14+F16+F10+F11)*'Assumptions'!$C$31</x:f>
        <x:v>0.9523124641930292</x:v>
      </x:c>
      <x:c r="G19" s="74" t="n">
        <x:f>(G12+G13+G14+G16+G10+G11)*'Assumptions'!$C$31</x:f>
        <x:v>0.8415416669406505</x:v>
      </x:c>
      <x:c r="H19" s="74" t="n">
        <x:f>(H12+H13+H14+H16+H10+H11)*'Assumptions'!$C$31</x:f>
        <x:v>0.7942802410567108</x:v>
      </x:c>
      <x:c r="I19" s="74" t="n">
        <x:f>(I12+I13+I14+I16+I10+I11)*'Assumptions'!$C$31</x:f>
        <x:v>1.0676181959161153</x:v>
      </x:c>
      <x:c r="J19" s="74" t="n">
        <x:f>(J12+J13+J14+J16+J10+J11)*'Assumptions'!$C$31</x:f>
        <x:v>0.8415555897950929</x:v>
      </x:c>
      <x:c r="K19" s="74" t="n">
        <x:f>(K12+K13+K14+K16+K10+K11)*'Assumptions'!$C$31</x:f>
        <x:v>0.8660882801192109</x:v>
      </x:c>
      <x:c r="L19" s="74" t="n">
        <x:f>(L12+L13+L14+L16+L10+L11)*'Assumptions'!$C$31</x:f>
        <x:v>0.8752205934931081</x:v>
      </x:c>
      <x:c r="M19" s="74" t="n">
        <x:f>(M12+M13+M14+M16+M10+M11)*'Assumptions'!$C$31</x:f>
        <x:v>1.4505141345127208</x:v>
      </x:c>
      <x:c r="N19" s="74" t="n">
        <x:f>(N12+N13+N14+N16+N10+N11)*'Assumptions'!$C$31</x:f>
        <x:v>1.101816771409184</x:v>
      </x:c>
      <x:c r="O19" s="74" t="n">
        <x:f>(O12+O13+O14+O16+O10+O11)*'Assumptions'!$C$31</x:f>
        <x:v>1.1616172286760396</x:v>
      </x:c>
      <x:c r="P19" s="74" t="n">
        <x:f>(P12+P13+P14+P16+P10+P11)*'Assumptions'!$C$31</x:f>
        <x:v>1.1993607280793952</x:v>
      </x:c>
      <x:c r="Q19" s="74" t="n">
        <x:f>(Q12+Q13+Q14+Q16+Q10+Q11)*'Assumptions'!$C$31</x:f>
        <x:v>1.238103911252048</x:v>
      </x:c>
      <x:c r="R19" s="74" t="n">
        <x:f>(R12+R13+R14+R16+R10+R11)*'Assumptions'!$C$31</x:f>
        <x:v>1.3017432687110901</x:v>
      </x:c>
      <x:c r="S19" s="74" t="n">
        <x:f>(S12+S13+S14+S16+S10+S11)*'Assumptions'!$C$31</x:f>
        <x:v>1.843274352488658</x:v>
      </x:c>
      <x:c r="T19" s="74" t="n">
        <x:f>(T12+T13+T14+T16+T10+T11)*'Assumptions'!$C$31</x:f>
        <x:v>1.2715588955951955</x:v>
      </x:c>
      <x:c r="U19" s="74" t="n">
        <x:f>(U12+U13+U14+U16+U10+U11)*'Assumptions'!$C$31</x:f>
        <x:v>1.6149286747432736</x:v>
      </x:c>
      <x:c r="V19" s="74" t="n">
        <x:f>(V12+V13+V14+V16+V10+V11)*'Assumptions'!$C$31</x:f>
        <x:v>1.444748190766541</x:v>
      </x:c>
      <x:c r="W19" s="74" t="n">
        <x:f>(W12+W13+W14+W16+W10+W11)*'Assumptions'!$C$31</x:f>
        <x:v>1.4604520076485508</x:v>
      </x:c>
      <x:c r="X19" s="74" t="n">
        <x:f>(X12+X13+X14+X16+X10+X11)*'Assumptions'!$C$31</x:f>
        <x:v>1.4867868432807578</x:v>
      </x:c>
      <x:c r="Y19" s="74" t="n">
        <x:f>(Y12+Y13+Y14+Y16+Y10+Y11)*'Assumptions'!$C$31</x:f>
        <x:v>2.052438640426631</x:v>
      </x:c>
    </x:row>
    <x:row r="20" ht="15" hidden="0" customHeight="1">
      <x:c r="A20" t="str">
        <x:v>Payables / Accruals</x:v>
      </x:c>
      <x:c r="B20" s="74" t="n">
        <x:f>(B12+B13+B14+B16+B10+B11)*'Assumptions'!$C$30/30</x:f>
        <x:v>21.9700728085</x:v>
      </x:c>
      <x:c r="C20" s="74" t="n">
        <x:f>(C12+C13+C14+C16+C10+C11)*'Assumptions'!$C$30/30</x:f>
        <x:v>26.110549813181787</x:v>
      </x:c>
      <x:c r="D20" s="74" t="n">
        <x:f>(D12+D13+D14+D16+D10+D11)*'Assumptions'!$C$30/30</x:f>
        <x:v>26.88342058378702</x:v>
      </x:c>
      <x:c r="E20" s="74" t="n">
        <x:f>(E12+E13+E14+E16+E10+E11)*'Assumptions'!$C$30/30</x:f>
        <x:v>18.51546705417013</x:v>
      </x:c>
      <x:c r="F20" s="74" t="n">
        <x:f>(F12+F13+F14+F16+F10+F11)*'Assumptions'!$C$30/30</x:f>
        <x:v>19.046249283860583</x:v>
      </x:c>
      <x:c r="G20" s="74" t="n">
        <x:f>(G12+G13+G14+G16+G10+G11)*'Assumptions'!$C$30/30</x:f>
        <x:v>16.830833338813008</x:v>
      </x:c>
      <x:c r="H20" s="74" t="n">
        <x:f>(H12+H13+H14+H16+H10+H11)*'Assumptions'!$C$30/30</x:f>
        <x:v>15.885604821134216</x:v>
      </x:c>
      <x:c r="I20" s="74" t="n">
        <x:f>(I12+I13+I14+I16+I10+I11)*'Assumptions'!$C$30/30</x:f>
        <x:v>21.352363918322304</x:v>
      </x:c>
      <x:c r="J20" s="74" t="n">
        <x:f>(J12+J13+J14+J16+J10+J11)*'Assumptions'!$C$30/30</x:f>
        <x:v>16.831111795901858</x:v>
      </x:c>
      <x:c r="K20" s="74" t="n">
        <x:f>(K12+K13+K14+K16+K10+K11)*'Assumptions'!$C$30/30</x:f>
        <x:v>17.321765602384218</x:v>
      </x:c>
      <x:c r="L20" s="74" t="n">
        <x:f>(L12+L13+L14+L16+L10+L11)*'Assumptions'!$C$30/30</x:f>
        <x:v>17.50441186986216</x:v>
      </x:c>
      <x:c r="M20" s="74" t="n">
        <x:f>(M12+M13+M14+M16+M10+M11)*'Assumptions'!$C$30/30</x:f>
        <x:v>29.010282690254414</x:v>
      </x:c>
      <x:c r="N20" s="74" t="n">
        <x:f>(N12+N13+N14+N16+N10+N11)*'Assumptions'!$C$30/30</x:f>
        <x:v>22.03633542818368</x:v>
      </x:c>
      <x:c r="O20" s="74" t="n">
        <x:f>(O12+O13+O14+O16+O10+O11)*'Assumptions'!$C$30/30</x:f>
        <x:v>23.23234457352079</x:v>
      </x:c>
      <x:c r="P20" s="74" t="n">
        <x:f>(P12+P13+P14+P16+P10+P11)*'Assumptions'!$C$30/30</x:f>
        <x:v>23.9872145615879</x:v>
      </x:c>
      <x:c r="Q20" s="74" t="n">
        <x:f>(Q12+Q13+Q14+Q16+Q10+Q11)*'Assumptions'!$C$30/30</x:f>
        <x:v>24.76207822504096</x:v>
      </x:c>
      <x:c r="R20" s="74" t="n">
        <x:f>(R12+R13+R14+R16+R10+R11)*'Assumptions'!$C$30/30</x:f>
        <x:v>26.034865374221802</x:v>
      </x:c>
      <x:c r="S20" s="74" t="n">
        <x:f>(S12+S13+S14+S16+S10+S11)*'Assumptions'!$C$30/30</x:f>
        <x:v>36.86548704977316</x:v>
      </x:c>
      <x:c r="T20" s="74" t="n">
        <x:f>(T12+T13+T14+T16+T10+T11)*'Assumptions'!$C$30/30</x:f>
        <x:v>25.43117791190391</x:v>
      </x:c>
      <x:c r="U20" s="74" t="n">
        <x:f>(U12+U13+U14+U16+U10+U11)*'Assumptions'!$C$30/30</x:f>
        <x:v>32.29857349486547</x:v>
      </x:c>
      <x:c r="V20" s="74" t="n">
        <x:f>(V12+V13+V14+V16+V10+V11)*'Assumptions'!$C$30/30</x:f>
        <x:v>28.894963815330815</x:v>
      </x:c>
      <x:c r="W20" s="74" t="n">
        <x:f>(W12+W13+W14+W16+W10+W11)*'Assumptions'!$C$30/30</x:f>
        <x:v>29.209040152971014</x:v>
      </x:c>
      <x:c r="X20" s="74" t="n">
        <x:f>(X12+X13+X14+X16+X10+X11)*'Assumptions'!$C$30/30</x:f>
        <x:v>29.735736865615156</x:v>
      </x:c>
      <x:c r="Y20" s="74" t="n">
        <x:f>(Y12+Y13+Y14+Y16+Y10+Y11)*'Assumptions'!$C$30/30</x:f>
        <x:v>41.04877280853261</x:v>
      </x:c>
    </x:row>
    <x:row r="21" ht="15" hidden="0" customHeight="1">
      <x:c r="A21" t="str">
        <x:v>Taxes Payable</x:v>
      </x:c>
      <x:c r="B21" s="74" t="n">
        <x:f>MAX(0,'P&amp;L'!B22-B17)</x:f>
        <x:v>0</x:v>
      </x:c>
      <x:c r="C21" s="74" t="n">
        <x:f>MAX(0,'P&amp;L'!C22-C17)</x:f>
        <x:v>0</x:v>
      </x:c>
      <x:c r="D21" s="74" t="n">
        <x:f>MAX(0,'P&amp;L'!D22-D17)</x:f>
        <x:v>0</x:v>
      </x:c>
      <x:c r="E21" s="74" t="n">
        <x:f>MAX(0,'P&amp;L'!E22-E17)</x:f>
        <x:v>0</x:v>
      </x:c>
      <x:c r="F21" s="74" t="n">
        <x:f>MAX(0,'P&amp;L'!F22-F17)</x:f>
        <x:v>0</x:v>
      </x:c>
      <x:c r="G21" s="74" t="n">
        <x:f>MAX(0,'P&amp;L'!G22-G17)</x:f>
        <x:v>0</x:v>
      </x:c>
      <x:c r="H21" s="74" t="n">
        <x:f>MAX(0,'P&amp;L'!H22-H17)</x:f>
        <x:v>0</x:v>
      </x:c>
      <x:c r="I21" s="74" t="n">
        <x:f>MAX(0,'P&amp;L'!I22-I17)</x:f>
        <x:v>0</x:v>
      </x:c>
      <x:c r="J21" s="74" t="n">
        <x:f>MAX(0,'P&amp;L'!J22-J17)</x:f>
        <x:v>0</x:v>
      </x:c>
      <x:c r="K21" s="74" t="n">
        <x:f>MAX(0,'P&amp;L'!K22-K17)</x:f>
        <x:v>0</x:v>
      </x:c>
      <x:c r="L21" s="74" t="n">
        <x:f>MAX(0,'P&amp;L'!L22-L17)</x:f>
        <x:v>0</x:v>
      </x:c>
      <x:c r="M21" s="74" t="n">
        <x:f>MAX(0,'P&amp;L'!M22-M17)</x:f>
        <x:v>0</x:v>
      </x:c>
      <x:c r="N21" s="74" t="n">
        <x:f>MAX(0,'P&amp;L'!N22-N17)</x:f>
        <x:v>0</x:v>
      </x:c>
      <x:c r="O21" s="74" t="n">
        <x:f>MAX(0,'P&amp;L'!O22-O17)</x:f>
        <x:v>0</x:v>
      </x:c>
      <x:c r="P21" s="74" t="n">
        <x:f>MAX(0,'P&amp;L'!P22-P17)</x:f>
        <x:v>0</x:v>
      </x:c>
      <x:c r="Q21" s="74" t="n">
        <x:f>MAX(0,'P&amp;L'!Q22-Q17)</x:f>
        <x:v>0</x:v>
      </x:c>
      <x:c r="R21" s="74" t="n">
        <x:f>MAX(0,'P&amp;L'!R22-R17)</x:f>
        <x:v>0</x:v>
      </x:c>
      <x:c r="S21" s="74" t="n">
        <x:f>MAX(0,'P&amp;L'!S22-S17)</x:f>
        <x:v>0</x:v>
      </x:c>
      <x:c r="T21" s="74" t="n">
        <x:f>MAX(0,'P&amp;L'!T22-T17)</x:f>
        <x:v>0</x:v>
      </x:c>
      <x:c r="U21" s="74" t="n">
        <x:f>MAX(0,'P&amp;L'!U22-U17)</x:f>
        <x:v>0</x:v>
      </x:c>
      <x:c r="V21" s="74" t="n">
        <x:f>MAX(0,'P&amp;L'!V22-V17)</x:f>
        <x:v>0</x:v>
      </x:c>
      <x:c r="W21" s="74" t="n">
        <x:f>MAX(0,'P&amp;L'!W22-W17)</x:f>
        <x:v>0</x:v>
      </x:c>
      <x:c r="X21" s="74" t="n">
        <x:f>MAX(0,'P&amp;L'!X22-X17)</x:f>
        <x:v>0</x:v>
      </x:c>
      <x:c r="Y21" s="74" t="n">
        <x:f>MAX(0,'P&amp;L'!Y22-Y17)</x:f>
        <x:v>0</x:v>
      </x:c>
    </x:row>
    <x:row r="22" ht="15" hidden="0" customHeight="1">
      <x:c r="A22" t="str">
        <x:v>Working Capital Movement</x:v>
      </x:c>
      <x:c r="B22" s="74" t="n">
        <x:f>(B20-0)+(B21-0)-(B19-0)</x:f>
        <x:v>20.871569168075</x:v>
      </x:c>
      <x:c r="C22" s="74" t="n">
        <x:f>(C20-B20)+(C21-B21)-(C19-B19)</x:f>
        <x:v>3.9334531544476983</x:v>
      </x:c>
      <x:c r="D22" s="74" t="n">
        <x:f>(D20-C20)+(D21-C21)-(D19-C19)</x:f>
        <x:v>0.7342272320749725</x:v>
      </x:c>
      <x:c r="E22" s="74" t="n">
        <x:f>(E20-D20)+(E21-D21)-(E19-D19)</x:f>
        <x:v>-7.949555853136046</x:v>
      </x:c>
      <x:c r="F22" s="74" t="n">
        <x:f>(F20-E20)+(F21-E21)-(F19-E19)</x:f>
        <x:v>0.5042431182059293</x:v>
      </x:c>
      <x:c r="G22" s="74" t="n">
        <x:f>(G20-F20)+(G21-F21)-(G19-F19)</x:f>
        <x:v>-2.1046451477951957</x:v>
      </x:c>
      <x:c r="H22" s="74" t="n">
        <x:f>(H20-G20)+(H21-G21)-(H19-G19)</x:f>
        <x:v>-0.8979670917948528</x:v>
      </x:c>
      <x:c r="I22" s="74" t="n">
        <x:f>(I20-H20)+(I21-H21)-(I19-H19)</x:f>
        <x:v>5.193421142328684</x:v>
      </x:c>
      <x:c r="J22" s="74" t="n">
        <x:f>(J20-I20)+(J21-I21)-(J19-I19)</x:f>
        <x:v>-4.295189516299423</x:v>
      </x:c>
      <x:c r="K22" s="74" t="n">
        <x:f>(K20-J20)+(K21-J21)-(K19-J19)</x:f>
        <x:v>0.46612111615824203</x:v>
      </x:c>
      <x:c r="L22" s="74" t="n">
        <x:f>(L20-K20)+(L21-K21)-(L19-K19)</x:f>
        <x:v>0.1735139541040449</x:v>
      </x:c>
      <x:c r="M22" s="74" t="n">
        <x:f>(M20-L20)+(M21-L21)-(M19-L19)</x:f>
        <x:v>10.93057727937264</x:v>
      </x:c>
      <x:c r="N22" s="74" t="n">
        <x:f>(N20-M20)+(N21-M21)-(N19-M19)</x:f>
        <x:v>-6.625249898967197</x:v>
      </x:c>
      <x:c r="O22" s="74" t="n">
        <x:f>(O20-N20)+(O21-N21)-(O19-N19)</x:f>
        <x:v>1.1362086880702558</x:v>
      </x:c>
      <x:c r="P22" s="74" t="n">
        <x:f>(P20-O20)+(P21-O21)-(P19-O19)</x:f>
        <x:v>0.7171264886637545</x:v>
      </x:c>
      <x:c r="Q22" s="74" t="n">
        <x:f>(Q20-P20)+(Q21-P21)-(Q19-P19)</x:f>
        <x:v>0.7361204802804049</x:v>
      </x:c>
      <x:c r="R22" s="74" t="n">
        <x:f>(R20-Q20)+(R21-Q21)-(R19-Q19)</x:f>
        <x:v>1.2091477917218008</x:v>
      </x:c>
      <x:c r="S22" s="74" t="n">
        <x:f>(S20-R20)+(S21-R21)-(S19-R19)</x:f>
        <x:v>10.289090591773789</x:v>
      </x:c>
      <x:c r="T22" s="74" t="n">
        <x:f>(T20-S20)+(T21-S21)-(T19-S19)</x:f>
        <x:v>-10.862593680975786</x:v>
      </x:c>
      <x:c r="U22" s="74" t="n">
        <x:f>(U20-T20)+(U21-T21)-(U19-T19)</x:f>
        <x:v>6.524025803813485</x:v>
      </x:c>
      <x:c r="V22" s="74" t="n">
        <x:f>(V20-U20)+(V21-U21)-(V19-U19)</x:f>
        <x:v>-3.2334291955579246</x:v>
      </x:c>
      <x:c r="W22" s="74" t="n">
        <x:f>(W20-V20)+(W21-V21)-(W19-V19)</x:f>
        <x:v>0.29837252075818865</x:v>
      </x:c>
      <x:c r="X22" s="74" t="n">
        <x:f>(X20-W20)+(X21-W21)-(X19-W19)</x:f>
        <x:v>0.5003618770119351</x:v>
      </x:c>
      <x:c r="Y22" s="74" t="n">
        <x:f>(Y20-X20)+(Y21-X21)-(Y19-X19)</x:f>
        <x:v>10.747384145771582</x:v>
      </x:c>
    </x:row>
    <x:row r="23" ht="15" hidden="0" customHeight="1">
      <x:c r="A23" s="73" t="str">
        <x:v>Closing Cash</x:v>
      </x:c>
      <x:c r="B23" s="75" t="n">
        <x:f>B6+B7+B8+B9-B10-B11-B12-B13-B14-B15-B16-B17+B22</x:f>
        <x:v>998.912623659575</x:v>
      </x:c>
      <x:c r="C23" s="75" t="n">
        <x:f>C6+C7+C8+C9-C10-C11-C12-C13-C14-C15-C16-C17+C22</x:f>
        <x:v>971.784595569491</x:v>
      </x:c>
      <x:c r="D23" s="75" t="n">
        <x:f>D6+D7+D8+D9-D10-D11-D12-D13-D14-D15-D16-D17+D22</x:f>
        <x:v>945.7493742021904</x:v>
      </x:c>
      <x:c r="E23" s="75" t="n">
        <x:f>E6+E7+E8+E9-E10-E11-E12-E13-E14-E15-E16-E17+E22</x:f>
        <x:v>919.4803098762436</x:v>
      </x:c>
      <x:c r="F23" s="75" t="n">
        <x:f>F6+F7+F8+F9-F10-F11-F12-F13-F14-F15-F16-F17+F22</x:f>
        <x:v>901.2288952250873</x:v>
      </x:c>
      <x:c r="G23" s="75" t="n">
        <x:f>G6+G7+G8+G9-G10-G11-G12-G13-G14-G15-G16-G17+G22</x:f>
        <x:v>882.6917939660482</x:v>
      </x:c>
      <x:c r="H23" s="75" t="n">
        <x:f>H6+H7+H8+H9-H10-H11-H12-H13-H14-H15-H16-H17+H22</x:f>
        <x:v>863.4218989624435</x:v>
      </x:c>
      <x:c r="I23" s="75" t="n">
        <x:f>I6+I7+I8+I9-I10-I11-I12-I13-I14-I15-I16-I17+I22</x:f>
        <x:v>847.8965568076588</x:v>
      </x:c>
      <x:c r="J23" s="75" t="n">
        <x:f>J6+J7+J8+J9-J10-J11-J12-J13-J14-J15-J16-J17+J22</x:f>
        <x:v>827.5298037924152</x:v>
      </x:c>
      <x:c r="K23" s="75" t="n">
        <x:f>K6+K7+K8+K9-K10-K11-K12-K13-K14-K15-K16-K17+K22</x:f>
        <x:v>811.5671003243735</x:v>
      </x:c>
      <x:c r="L23" s="75" t="n">
        <x:f>L6+L7+L8+L9-L10-L11-L12-L13-L14-L15-L16-L17+L22</x:f>
        <x:v>795.2691505794634</x:v>
      </x:c>
      <x:c r="M23" s="75" t="n">
        <x:f>M6+M7+M8+M9-M10-M11-M12-M13-M14-M15-M16-M17+M22</x:f>
        <x:v>778.3696566352296</x:v>
      </x:c>
      <x:c r="N23" s="75" t="n">
        <x:f>N6+N7+N8+N9-N10-N11-N12-N13-N14-N15-N16-N17+N22</x:f>
        <x:v>749.0571396545897</x:v>
      </x:c>
      <x:c r="O23" s="75" t="n">
        <x:f>O6+O7+O8+O9-O10-O11-O12-O13-O14-O15-O16-O17+O22</x:f>
        <x:v>728.5143576444028</x:v>
      </x:c>
      <x:c r="P23" s="75" t="n">
        <x:f>P6+P7+P8+P9-P10-P11-P12-P13-P14-P15-P16-P17+P22</x:f>
        <x:v>707.0341331553805</x:v>
      </x:c>
      <x:c r="Q23" s="75" t="n">
        <x:f>Q6+Q7+Q8+Q9-Q10-Q11-Q12-Q13-Q14-Q15-Q16-Q17+Q22</x:f>
        <x:v>685.0638166276003</x:v>
      </x:c>
      <x:c r="R23" s="75" t="n">
        <x:f>R6+R7+R8+R9-R10-R11-R12-R13-R14-R15-R16-R17+R22</x:f>
        <x:v>662.5986423264076</x:v>
      </x:c>
      <x:c r="S23" s="75" t="n">
        <x:f>S6+S7+S8+S9-S10-S11-S12-S13-S14-S15-S16-S17+S22</x:f>
        <x:v>638.7323792764244</x:v>
      </x:c>
      <x:c r="T23" s="75" t="n">
        <x:f>T6+T7+T8+T9-T10-T11-T12-T13-T14-T15-T16-T17+T22</x:f>
        <x:v>605.4965479606835</x:v>
      </x:c>
      <x:c r="U23" s="75" t="n">
        <x:f>U6+U7+U8+U9-U10-U11-U12-U13-U14-U15-U16-U17+U22</x:f>
        <x:v>583.119127022867</x:v>
      </x:c>
      <x:c r="V23" s="75" t="n">
        <x:f>V6+V7+V8+V9-V10-V11-V12-V13-V14-V15-V16-V17+V22</x:f>
        <x:v>554.7783756802064</x:v>
      </x:c>
      <x:c r="W23" s="75" t="n">
        <x:f>W6+W7+W8+W9-W10-W11-W12-W13-W14-W15-W16-W17+W22</x:f>
        <x:v>530.0899225410485</x:v>
      </x:c>
      <x:c r="X23" s="75" t="n">
        <x:f>X6+X7+X8+X9-X10-X11-X12-X13-X14-X15-X16-X17+X22</x:f>
        <x:v>505.54727653303826</x:v>
      </x:c>
      <x:c r="Y23" s="75" t="n">
        <x:f>Y6+Y7+Y8+Y9-Y10-Y11-Y12-Y13-Y14-Y15-Y16-Y17+Y22</x:f>
        <x:v>480.4473845759737</x:v>
      </x:c>
    </x:row>
    <x:row r="24" ht="15" hidden="0" customHeight="1">
      <x:c r="A24" s="73" t="str">
        <x:v>Monthly Net Burn</x:v>
      </x:c>
      <x:c r="B24" s="75" t="n">
        <x:f>MAX(0,-(B23-B6-B9))</x:f>
        <x:v>1.087376340424953</x:v>
      </x:c>
      <x:c r="C24" s="75" t="n">
        <x:f>MAX(0,-(C23-C6-C9))</x:f>
        <x:v>27.128028090084058</x:v>
      </x:c>
      <x:c r="D24" s="75" t="n">
        <x:f>MAX(0,-(D23-D6-D9))</x:f>
        <x:v>26.03522136730055</x:v>
      </x:c>
      <x:c r="E24" s="75" t="n">
        <x:f>MAX(0,-(E23-E6-E9))</x:f>
        <x:v>26.26906432594683</x:v>
      </x:c>
      <x:c r="F24" s="75" t="n">
        <x:f>MAX(0,-(F23-F6-F9))</x:f>
        <x:v>18.251414651156324</x:v>
      </x:c>
      <x:c r="G24" s="75" t="n">
        <x:f>MAX(0,-(G23-G6-G9))</x:f>
        <x:v>18.537101259039105</x:v>
      </x:c>
      <x:c r="H24" s="75" t="n">
        <x:f>MAX(0,-(H23-H6-H9))</x:f>
        <x:v>19.269895003604688</x:v>
      </x:c>
      <x:c r="I24" s="75" t="n">
        <x:f>MAX(0,-(I23-I6-I9))</x:f>
        <x:v>15.525342154784653</x:v>
      </x:c>
      <x:c r="J24" s="75" t="n">
        <x:f>MAX(0,-(J23-J6-J9))</x:f>
        <x:v>20.366753015243603</x:v>
      </x:c>
      <x:c r="K24" s="75" t="n">
        <x:f>MAX(0,-(K23-K6-K9))</x:f>
        <x:v>15.962703468041695</x:v>
      </x:c>
      <x:c r="L24" s="75" t="n">
        <x:f>MAX(0,-(L23-L6-L9))</x:f>
        <x:v>16.29794974491017</x:v>
      </x:c>
      <x:c r="M24" s="75" t="n">
        <x:f>MAX(0,-(M23-M6-M9))</x:f>
        <x:v>16.899493944233768</x:v>
      </x:c>
      <x:c r="N24" s="75" t="n">
        <x:f>MAX(0,-(N23-N6-N9))</x:f>
        <x:v>29.312516980639884</x:v>
      </x:c>
      <x:c r="O24" s="75" t="n">
        <x:f>MAX(0,-(O23-O6-O9))</x:f>
        <x:v>20.542782010186897</x:v>
      </x:c>
      <x:c r="P24" s="75" t="n">
        <x:f>MAX(0,-(P23-P6-P9))</x:f>
        <x:v>21.480224489022362</x:v>
      </x:c>
      <x:c r="Q24" s="75" t="n">
        <x:f>MAX(0,-(Q23-Q6-Q9))</x:f>
        <x:v>21.97031652778014</x:v>
      </x:c>
      <x:c r="R24" s="75" t="n">
        <x:f>MAX(0,-(R23-R6-R9))</x:f>
        <x:v>22.465174301192746</x:v>
      </x:c>
      <x:c r="S24" s="75" t="n">
        <x:f>MAX(0,-(S23-S6-S9))</x:f>
        <x:v>23.866263049983218</x:v>
      </x:c>
      <x:c r="T24" s="75" t="n">
        <x:f>MAX(0,-(T23-T6-T9))</x:f>
        <x:v>33.235831315740825</x:v>
      </x:c>
      <x:c r="U24" s="75" t="n">
        <x:f>MAX(0,-(U23-U6-U9))</x:f>
        <x:v>22.37742093781651</x:v>
      </x:c>
      <x:c r="V24" s="75" t="n">
        <x:f>MAX(0,-(V23-V6-V9))</x:f>
        <x:v>28.34075134266061</x:v>
      </x:c>
      <x:c r="W24" s="75" t="n">
        <x:f>MAX(0,-(W23-W6-W9))</x:f>
        <x:v>24.6884531391579</x:v>
      </x:c>
      <x:c r="X24" s="75" t="n">
        <x:f>MAX(0,-(X23-X6-X9))</x:f>
        <x:v>24.54264600801025</x:v>
      </x:c>
      <x:c r="Y24" s="75" t="n">
        <x:f>MAX(0,-(Y23-Y6-Y9))</x:f>
        <x:v>25.099891957064585</x:v>
      </x:c>
    </x:row>
    <x:row r="25" ht="15" hidden="0" customHeight="1">
      <x:c r="A25" t="str">
        <x:v>Cumulative Burn</x:v>
      </x:c>
      <x:c r="B25" s="74" t="n">
        <x:f>'Assumptions'!$C$5-B23</x:f>
        <x:v>1.087376340424953</x:v>
      </x:c>
      <x:c r="C25" s="74" t="n">
        <x:f>'Assumptions'!$C$5-C23</x:f>
        <x:v>28.21540443050901</x:v>
      </x:c>
      <x:c r="D25" s="74" t="n">
        <x:f>'Assumptions'!$C$5-D23</x:f>
        <x:v>54.25062579780956</x:v>
      </x:c>
      <x:c r="E25" s="74" t="n">
        <x:f>'Assumptions'!$C$5-E23</x:f>
        <x:v>80.51969012375639</x:v>
      </x:c>
      <x:c r="F25" s="74" t="n">
        <x:f>'Assumptions'!$C$5-F23</x:f>
        <x:v>98.77110477491271</x:v>
      </x:c>
      <x:c r="G25" s="74" t="n">
        <x:f>'Assumptions'!$C$5-G23</x:f>
        <x:v>117.30820603395182</x:v>
      </x:c>
      <x:c r="H25" s="74" t="n">
        <x:f>'Assumptions'!$C$5-H23</x:f>
        <x:v>136.5781010375565</x:v>
      </x:c>
      <x:c r="I25" s="74" t="n">
        <x:f>'Assumptions'!$C$5-I23</x:f>
        <x:v>152.10344319234116</x:v>
      </x:c>
      <x:c r="J25" s="74" t="n">
        <x:f>'Assumptions'!$C$5-J23</x:f>
        <x:v>172.47019620758476</x:v>
      </x:c>
      <x:c r="K25" s="74" t="n">
        <x:f>'Assumptions'!$C$5-K23</x:f>
        <x:v>188.43289967562646</x:v>
      </x:c>
      <x:c r="L25" s="74" t="n">
        <x:f>'Assumptions'!$C$5-L23</x:f>
        <x:v>204.73084942053663</x:v>
      </x:c>
      <x:c r="M25" s="74" t="n">
        <x:f>'Assumptions'!$C$5-M23</x:f>
        <x:v>221.6303433647704</x:v>
      </x:c>
      <x:c r="N25" s="74" t="n">
        <x:f>'Assumptions'!$C$5-N23</x:f>
        <x:v>250.94286034541028</x:v>
      </x:c>
      <x:c r="O25" s="74" t="n">
        <x:f>'Assumptions'!$C$5-O23</x:f>
        <x:v>271.4856423555972</x:v>
      </x:c>
      <x:c r="P25" s="74" t="n">
        <x:f>'Assumptions'!$C$5-P23</x:f>
        <x:v>292.96586684461954</x:v>
      </x:c>
      <x:c r="Q25" s="74" t="n">
        <x:f>'Assumptions'!$C$5-Q23</x:f>
        <x:v>314.9361833723997</x:v>
      </x:c>
      <x:c r="R25" s="74" t="n">
        <x:f>'Assumptions'!$C$5-R23</x:f>
        <x:v>337.40135767359243</x:v>
      </x:c>
      <x:c r="S25" s="74" t="n">
        <x:f>'Assumptions'!$C$5-S23</x:f>
        <x:v>361.26762072357565</x:v>
      </x:c>
      <x:c r="T25" s="74" t="n">
        <x:f>'Assumptions'!$C$5-T23</x:f>
        <x:v>394.50345203931647</x:v>
      </x:c>
      <x:c r="U25" s="74" t="n">
        <x:f>'Assumptions'!$C$5-U23</x:f>
        <x:v>416.880872977133</x:v>
      </x:c>
      <x:c r="V25" s="74" t="n">
        <x:f>'Assumptions'!$C$5-V23</x:f>
        <x:v>445.2216243197936</x:v>
      </x:c>
      <x:c r="W25" s="74" t="n">
        <x:f>'Assumptions'!$C$5-W23</x:f>
        <x:v>469.9100774589515</x:v>
      </x:c>
      <x:c r="X25" s="74" t="n">
        <x:f>'Assumptions'!$C$5-X23</x:f>
        <x:v>494.45272346696174</x:v>
      </x:c>
      <x:c r="Y25" s="74" t="n">
        <x:f>'Assumptions'!$C$5-Y23</x:f>
        <x:v>519.5526154240263</x:v>
      </x:c>
    </x:row>
    <x:row r="26" ht="15" hidden="0" customHeight="1">
      <x:c r="A26" t="str">
        <x:v>Minimum Cash</x:v>
      </x:c>
      <x:c r="B26" s="74" t="n">
        <x:f>MIN($B$23:B23)</x:f>
        <x:v>998.912623659575</x:v>
      </x:c>
      <x:c r="C26" s="74" t="n">
        <x:f>MIN($B$23:C23)</x:f>
        <x:v>971.784595569491</x:v>
      </x:c>
      <x:c r="D26" s="74" t="n">
        <x:f>MIN($B$23:D23)</x:f>
        <x:v>945.7493742021904</x:v>
      </x:c>
      <x:c r="E26" s="74" t="n">
        <x:f>MIN($B$23:E23)</x:f>
        <x:v>919.4803098762436</x:v>
      </x:c>
      <x:c r="F26" s="74" t="n">
        <x:f>MIN($B$23:F23)</x:f>
        <x:v>901.2288952250873</x:v>
      </x:c>
      <x:c r="G26" s="74" t="n">
        <x:f>MIN($B$23:G23)</x:f>
        <x:v>882.6917939660482</x:v>
      </x:c>
      <x:c r="H26" s="74" t="n">
        <x:f>MIN($B$23:H23)</x:f>
        <x:v>863.4218989624435</x:v>
      </x:c>
      <x:c r="I26" s="74" t="n">
        <x:f>MIN($B$23:I23)</x:f>
        <x:v>847.8965568076588</x:v>
      </x:c>
      <x:c r="J26" s="74" t="n">
        <x:f>MIN($B$23:J23)</x:f>
        <x:v>827.5298037924152</x:v>
      </x:c>
      <x:c r="K26" s="74" t="n">
        <x:f>MIN($B$23:K23)</x:f>
        <x:v>811.5671003243735</x:v>
      </x:c>
      <x:c r="L26" s="74" t="n">
        <x:f>MIN($B$23:L23)</x:f>
        <x:v>795.2691505794634</x:v>
      </x:c>
      <x:c r="M26" s="74" t="n">
        <x:f>MIN($B$23:M23)</x:f>
        <x:v>778.3696566352296</x:v>
      </x:c>
      <x:c r="N26" s="74" t="n">
        <x:f>MIN($B$23:N23)</x:f>
        <x:v>749.0571396545897</x:v>
      </x:c>
      <x:c r="O26" s="74" t="n">
        <x:f>MIN($B$23:O23)</x:f>
        <x:v>728.5143576444028</x:v>
      </x:c>
      <x:c r="P26" s="74" t="n">
        <x:f>MIN($B$23:P23)</x:f>
        <x:v>707.0341331553805</x:v>
      </x:c>
      <x:c r="Q26" s="74" t="n">
        <x:f>MIN($B$23:Q23)</x:f>
        <x:v>685.0638166276003</x:v>
      </x:c>
      <x:c r="R26" s="74" t="n">
        <x:f>MIN($B$23:R23)</x:f>
        <x:v>662.5986423264076</x:v>
      </x:c>
      <x:c r="S26" s="74" t="n">
        <x:f>MIN($B$23:S23)</x:f>
        <x:v>638.7323792764244</x:v>
      </x:c>
      <x:c r="T26" s="74" t="n">
        <x:f>MIN($B$23:T23)</x:f>
        <x:v>605.4965479606835</x:v>
      </x:c>
      <x:c r="U26" s="74" t="n">
        <x:f>MIN($B$23:U23)</x:f>
        <x:v>583.119127022867</x:v>
      </x:c>
      <x:c r="V26" s="74" t="n">
        <x:f>MIN($B$23:V23)</x:f>
        <x:v>554.7783756802064</x:v>
      </x:c>
      <x:c r="W26" s="74" t="n">
        <x:f>MIN($B$23:W23)</x:f>
        <x:v>530.0899225410485</x:v>
      </x:c>
      <x:c r="X26" s="74" t="n">
        <x:f>MIN($B$23:X23)</x:f>
        <x:v>505.54727653303826</x:v>
      </x:c>
      <x:c r="Y26" s="74" t="n">
        <x:f>MIN($B$23:Y23)</x:f>
        <x:v>480.4473845759737</x:v>
      </x:c>
    </x:row>
    <x:row r="27" ht="15" hidden="0" customHeight="1">
      <x:c r="A27" t="str">
        <x:v>Three-Month Average Burn</x:v>
      </x:c>
      <x:c r="B27" s="74" t="n">
        <x:f>AVERAGE(B24:B24)</x:f>
        <x:v>1.087376340424953</x:v>
      </x:c>
      <x:c r="C27" s="74" t="n">
        <x:f>AVERAGE(B24:C24)</x:f>
        <x:v>14.107702215254506</x:v>
      </x:c>
      <x:c r="D27" s="74" t="n">
        <x:f>AVERAGE(B24:D24)</x:f>
        <x:v>18.083541932603186</x:v>
      </x:c>
      <x:c r="E27" s="74" t="n">
        <x:f>AVERAGE(C24:E24)</x:f>
        <x:v>26.477437927777146</x:v>
      </x:c>
      <x:c r="F27" s="74" t="n">
        <x:f>AVERAGE(D24:F24)</x:f>
        <x:v>23.5185667814679</x:v>
      </x:c>
      <x:c r="G27" s="74" t="n">
        <x:f>AVERAGE(E24:G24)</x:f>
        <x:v>21.019193412047418</x:v>
      </x:c>
      <x:c r="H27" s="74" t="n">
        <x:f>AVERAGE(F24:H24)</x:f>
        <x:v>18.686136971266706</x:v>
      </x:c>
      <x:c r="I27" s="74" t="n">
        <x:f>AVERAGE(G24:I24)</x:f>
        <x:v>17.777446139142814</x:v>
      </x:c>
      <x:c r="J27" s="74" t="n">
        <x:f>AVERAGE(H24:J24)</x:f>
        <x:v>18.387330057877648</x:v>
      </x:c>
      <x:c r="K27" s="74" t="n">
        <x:f>AVERAGE(I24:K24)</x:f>
        <x:v>17.28493287935665</x:v>
      </x:c>
      <x:c r="L27" s="74" t="n">
        <x:f>AVERAGE(J24:L24)</x:f>
        <x:v>17.542468742731824</x:v>
      </x:c>
      <x:c r="M27" s="74" t="n">
        <x:f>AVERAGE(K24:M24)</x:f>
        <x:v>16.38671571906188</x:v>
      </x:c>
      <x:c r="N27" s="74" t="n">
        <x:f>AVERAGE(L24:N24)</x:f>
        <x:v>20.83665355659461</x:v>
      </x:c>
      <x:c r="O27" s="74" t="n">
        <x:f>AVERAGE(M24:O24)</x:f>
        <x:v>22.251597645020183</x:v>
      </x:c>
      <x:c r="P27" s="74" t="n">
        <x:f>AVERAGE(N24:P24)</x:f>
        <x:v>23.77850782661638</x:v>
      </x:c>
      <x:c r="Q27" s="74" t="n">
        <x:f>AVERAGE(O24:Q24)</x:f>
        <x:v>21.331107675663134</x:v>
      </x:c>
      <x:c r="R27" s="74" t="n">
        <x:f>AVERAGE(P24:R24)</x:f>
        <x:v>21.971905105998417</x:v>
      </x:c>
      <x:c r="S27" s="74" t="n">
        <x:f>AVERAGE(Q24:S24)</x:f>
        <x:v>22.767251292985367</x:v>
      </x:c>
      <x:c r="T27" s="74" t="n">
        <x:f>AVERAGE(R24:T24)</x:f>
        <x:v>26.52242288897226</x:v>
      </x:c>
      <x:c r="U27" s="74" t="n">
        <x:f>AVERAGE(S24:U24)</x:f>
        <x:v>26.49317176784685</x:v>
      </x:c>
      <x:c r="V27" s="74" t="n">
        <x:f>AVERAGE(T24:V24)</x:f>
        <x:v>27.98466786540598</x:v>
      </x:c>
      <x:c r="W27" s="74" t="n">
        <x:f>AVERAGE(U24:W24)</x:f>
        <x:v>25.135541806545007</x:v>
      </x:c>
      <x:c r="X27" s="74" t="n">
        <x:f>AVERAGE(V24:X24)</x:f>
        <x:v>25.857283496609586</x:v>
      </x:c>
      <x:c r="Y27" s="74" t="n">
        <x:f>AVERAGE(W24:Y24)</x:f>
        <x:v>24.776997034744245</x:v>
      </x:c>
    </x:row>
    <x:row r="28" ht="15" hidden="0" customHeight="1">
      <x:c r="A28" t="str">
        <x:v>Runway</x:v>
      </x:c>
      <x:c r="B28" s="74" t="n">
        <x:f>IF(B27&gt;0,B23/B27,"Cash Generative")</x:f>
        <x:v>918.6448026533244</x:v>
      </x:c>
      <x:c r="C28" s="74" t="n">
        <x:f>IF(C27&gt;0,C23/C27,"Cash Generative")</x:f>
        <x:v>68.8832653781642</x:v>
      </x:c>
      <x:c r="D28" s="74" t="n">
        <x:f>IF(D27&gt;0,D23/D27,"Cash Generative")</x:f>
        <x:v>52.298901273155984</x:v>
      </x:c>
      <x:c r="E28" s="74" t="n">
        <x:f>IF(E27&gt;0,E23/E27,"Cash Generative")</x:f>
        <x:v>34.726936661482206</x:v>
      </x:c>
      <x:c r="F28" s="74" t="n">
        <x:f>IF(F27&gt;0,F23/F27,"Cash Generative")</x:f>
        <x:v>38.319890136130034</x:v>
      </x:c>
      <x:c r="G28" s="74" t="n">
        <x:f>IF(G27&gt;0,G23/G27,"Cash Generative")</x:f>
        <x:v>41.99456071706929</x:v>
      </x:c>
      <x:c r="H28" s="74" t="n">
        <x:f>IF(H27&gt;0,H23/H27,"Cash Generative")</x:f>
        <x:v>46.20654875269885</x:v>
      </x:c>
      <x:c r="I28" s="74" t="n">
        <x:f>IF(I27&gt;0,I23/I27,"Cash Generative")</x:f>
        <x:v>47.69507105639541</x:v>
      </x:c>
      <x:c r="J28" s="74" t="n">
        <x:f>IF(J27&gt;0,J23/J27,"Cash Generative")</x:f>
        <x:v>45.00543587283235</x:v>
      </x:c>
      <x:c r="K28" s="74" t="n">
        <x:f>IF(K27&gt;0,K23/K27,"Cash Generative")</x:f>
        <x:v>46.95228532206949</x:v>
      </x:c>
      <x:c r="L28" s="74" t="n">
        <x:f>IF(L27&gt;0,L23/L27,"Cash Generative")</x:f>
        <x:v>45.33393573290295</x:v>
      </x:c>
      <x:c r="M28" s="74" t="n">
        <x:f>IF(M27&gt;0,M23/M27,"Cash Generative")</x:f>
        <x:v>47.50004027529382</x:v>
      </x:c>
      <x:c r="N28" s="74" t="n">
        <x:f>IF(N27&gt;0,N23/N27,"Cash Generative")</x:f>
        <x:v>35.94901348338251</x:v>
      </x:c>
      <x:c r="O28" s="74" t="n">
        <x:f>IF(O27&gt;0,O23/O27,"Cash Generative")</x:f>
        <x:v>32.73986745879532</x:v>
      </x:c>
      <x:c r="P28" s="74" t="n">
        <x:f>IF(P27&gt;0,P23/P27,"Cash Generative")</x:f>
        <x:v>29.734167438545683</x:v>
      </x:c>
      <x:c r="Q28" s="74" t="n">
        <x:f>IF(Q27&gt;0,Q23/Q27,"Cash Generative")</x:f>
        <x:v>32.11571696340909</x:v>
      </x:c>
      <x:c r="R28" s="74" t="n">
        <x:f>IF(R27&gt;0,R23/R27,"Cash Generative")</x:f>
        <x:v>30.15663134943704</x:v>
      </x:c>
      <x:c r="S28" s="74" t="n">
        <x:f>IF(S27&gt;0,S23/S27,"Cash Generative")</x:f>
        <x:v>28.054874567718194</x:v>
      </x:c>
      <x:c r="T28" s="74" t="n">
        <x:f>IF(T27&gt;0,T23/T27,"Cash Generative")</x:f>
        <x:v>22.829609138478915</x:v>
      </x:c>
      <x:c r="U28" s="74" t="n">
        <x:f>IF(U27&gt;0,U23/U27,"Cash Generative")</x:f>
        <x:v>22.010166700031107</x:v>
      </x:c>
      <x:c r="V28" s="74" t="n">
        <x:f>IF(V27&gt;0,V23/V27,"Cash Generative")</x:f>
        <x:v>19.824368770372686</x:v>
      </x:c>
      <x:c r="W28" s="74" t="n">
        <x:f>IF(W27&gt;0,W23/W27,"Cash Generative")</x:f>
        <x:v>21.08925785729509</x:v>
      </x:c>
      <x:c r="X28" s="74" t="n">
        <x:f>IF(X27&gt;0,X23/X27,"Cash Generative")</x:f>
        <x:v>19.551445788933155</x:v>
      </x:c>
      <x:c r="Y28" s="74" t="n">
        <x:f>IF(Y27&gt;0,Y23/Y27,"Cash Generative")</x:f>
        <x:v>19.390864191582732</x:v>
      </x:c>
    </x:row>
    <x:row r="29" ht="15" hidden="0" customHeight="1">
      <x:c r="A29" t="str">
        <x:v>Cash Remaining M24</x:v>
      </x:c>
      <x:c r="B29" s="74" t="n">
        <x:f>$Y$23</x:f>
        <x:v>480.4473845759737</x:v>
      </x:c>
      <x:c r="C29" s="74" t="n">
        <x:f>$Y$23</x:f>
        <x:v>480.4473845759737</x:v>
      </x:c>
      <x:c r="D29" s="74" t="n">
        <x:f>$Y$23</x:f>
        <x:v>480.4473845759737</x:v>
      </x:c>
      <x:c r="E29" s="74" t="n">
        <x:f>$Y$23</x:f>
        <x:v>480.4473845759737</x:v>
      </x:c>
      <x:c r="F29" s="74" t="n">
        <x:f>$Y$23</x:f>
        <x:v>480.4473845759737</x:v>
      </x:c>
      <x:c r="G29" s="74" t="n">
        <x:f>$Y$23</x:f>
        <x:v>480.4473845759737</x:v>
      </x:c>
      <x:c r="H29" s="74" t="n">
        <x:f>$Y$23</x:f>
        <x:v>480.4473845759737</x:v>
      </x:c>
      <x:c r="I29" s="74" t="n">
        <x:f>$Y$23</x:f>
        <x:v>480.4473845759737</x:v>
      </x:c>
      <x:c r="J29" s="74" t="n">
        <x:f>$Y$23</x:f>
        <x:v>480.4473845759737</x:v>
      </x:c>
      <x:c r="K29" s="74" t="n">
        <x:f>$Y$23</x:f>
        <x:v>480.4473845759737</x:v>
      </x:c>
      <x:c r="L29" s="74" t="n">
        <x:f>$Y$23</x:f>
        <x:v>480.4473845759737</x:v>
      </x:c>
      <x:c r="M29" s="74" t="n">
        <x:f>$Y$23</x:f>
        <x:v>480.4473845759737</x:v>
      </x:c>
      <x:c r="N29" s="74" t="n">
        <x:f>$Y$23</x:f>
        <x:v>480.4473845759737</x:v>
      </x:c>
      <x:c r="O29" s="74" t="n">
        <x:f>$Y$23</x:f>
        <x:v>480.4473845759737</x:v>
      </x:c>
      <x:c r="P29" s="74" t="n">
        <x:f>$Y$23</x:f>
        <x:v>480.4473845759737</x:v>
      </x:c>
      <x:c r="Q29" s="74" t="n">
        <x:f>$Y$23</x:f>
        <x:v>480.4473845759737</x:v>
      </x:c>
      <x:c r="R29" s="74" t="n">
        <x:f>$Y$23</x:f>
        <x:v>480.4473845759737</x:v>
      </x:c>
      <x:c r="S29" s="74" t="n">
        <x:f>$Y$23</x:f>
        <x:v>480.4473845759737</x:v>
      </x:c>
      <x:c r="T29" s="74" t="n">
        <x:f>$Y$23</x:f>
        <x:v>480.4473845759737</x:v>
      </x:c>
      <x:c r="U29" s="74" t="n">
        <x:f>$Y$23</x:f>
        <x:v>480.4473845759737</x:v>
      </x:c>
      <x:c r="V29" s="74" t="n">
        <x:f>$Y$23</x:f>
        <x:v>480.4473845759737</x:v>
      </x:c>
      <x:c r="W29" s="74" t="n">
        <x:f>$Y$23</x:f>
        <x:v>480.4473845759737</x:v>
      </x:c>
      <x:c r="X29" s="74" t="n">
        <x:f>$Y$23</x:f>
        <x:v>480.4473845759737</x:v>
      </x:c>
      <x:c r="Y29" s="74" t="n">
        <x:f>$Y$23</x:f>
        <x:v>480.4473845759737</x:v>
      </x:c>
    </x:row>
    <x:row r="30" ht="15" hidden="0" customHeight="1">
      <x:c r="A30" t="str">
        <x:v>Total Cash Deployed</x:v>
      </x:c>
      <x:c r="B30" s="74" t="n">
        <x:f>SUM($B$10:B17)</x:f>
        <x:v>21.9700728085</x:v>
      </x:c>
      <x:c r="C30" s="74" t="n">
        <x:f>SUM($B$10:C17)</x:f>
        <x:v>53.08062262168179</x:v>
      </x:c>
      <x:c r="D30" s="74" t="n">
        <x:f>SUM($B$10:D17)</x:f>
        <x:v>79.9640432054688</x:v>
      </x:c>
      <x:c r="E30" s="74" t="n">
        <x:f>SUM($B$10:E17)</x:f>
        <x:v>98.47951025963891</x:v>
      </x:c>
      <x:c r="F30" s="74" t="n">
        <x:f>SUM($B$10:F17)</x:f>
        <x:v>117.5257595434995</x:v>
      </x:c>
      <x:c r="G30" s="74" t="n">
        <x:f>SUM($B$10:G17)</x:f>
        <x:v>134.3565928823125</x:v>
      </x:c>
      <x:c r="H30" s="74" t="n">
        <x:f>SUM($B$10:H17)</x:f>
        <x:v>153.24219770344672</x:v>
      </x:c>
      <x:c r="I30" s="74" t="n">
        <x:f>SUM($B$10:I17)</x:f>
        <x:v>174.59456162176903</x:v>
      </x:c>
      <x:c r="J30" s="74" t="n">
        <x:f>SUM($B$10:J17)</x:f>
        <x:v>191.42567341767088</x:v>
      </x:c>
      <x:c r="K30" s="74" t="n">
        <x:f>SUM($B$10:K17)</x:f>
        <x:v>208.7474390200551</x:v>
      </x:c>
      <x:c r="L30" s="74" t="n">
        <x:f>SUM($B$10:L17)</x:f>
        <x:v>226.25185088991728</x:v>
      </x:c>
      <x:c r="M30" s="74" t="n">
        <x:f>SUM($B$10:M17)</x:f>
        <x:v>255.26213358017168</x:v>
      </x:c>
      <x:c r="N30" s="74" t="n">
        <x:f>SUM($B$10:N17)</x:f>
        <x:v>279.29846900835565</x:v>
      </x:c>
      <x:c r="O30" s="74" t="n">
        <x:f>SUM($B$10:O17)</x:f>
        <x:v>302.53081358187654</x:v>
      </x:c>
      <x:c r="P30" s="74" t="n">
        <x:f>SUM($B$10:P17)</x:f>
        <x:v>326.51802814346445</x:v>
      </x:c>
      <x:c r="Q30" s="74" t="n">
        <x:f>SUM($B$10:Q17)</x:f>
        <x:v>351.28010636850536</x:v>
      </x:c>
      <x:c r="R30" s="74" t="n">
        <x:f>SUM($B$10:R17)</x:f>
        <x:v>377.31497174272715</x:v>
      </x:c>
      <x:c r="S30" s="74" t="n">
        <x:f>SUM($B$10:S17)</x:f>
        <x:v>414.1804587925003</x:v>
      </x:c>
      <x:c r="T30" s="74" t="n">
        <x:f>SUM($B$10:T17)</x:f>
        <x:v>439.61163670440425</x:v>
      </x:c>
      <x:c r="U30" s="74" t="n">
        <x:f>SUM($B$10:U17)</x:f>
        <x:v>471.9102101992696</x:v>
      </x:c>
      <x:c r="V30" s="74" t="n">
        <x:f>SUM($B$10:V17)</x:f>
        <x:v>500.8051740146005</x:v>
      </x:c>
      <x:c r="W30" s="74" t="n">
        <x:f>SUM($B$10:W17)</x:f>
        <x:v>530.0142141675715</x:v>
      </x:c>
      <x:c r="X30" s="74" t="n">
        <x:f>SUM($B$10:X17)</x:f>
        <x:v>559.7499510331864</x:v>
      </x:c>
      <x:c r="Y30" s="74" t="n">
        <x:f>SUM($B$10:Y17)</x:f>
        <x:v>600.7987238417192</x:v>
      </x:c>
    </x:row>
  </x:sheetData>
  <x:mergeCells>
    <x:mergeCell ref="A1:H1"/>
    <x:mergeCell ref="A2:H2"/>
    <x:mergeCell ref="A5:Y5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4.5" hidden="0" customWidth="1"/>
    <x:col min="3" max="3" width="14.5" hidden="0" customWidth="1"/>
    <x:col min="4" max="4" width="14.5" hidden="0" customWidth="1"/>
    <x:col min="5" max="5" width="14.5" hidden="0" customWidth="1"/>
    <x:col min="6" max="6" width="14.5" hidden="0" customWidth="1"/>
    <x:col min="7" max="7" width="14.5" hidden="0" customWidth="1"/>
    <x:col min="8" max="8" width="14.5" hidden="0" customWidth="1"/>
    <x:col min="9" max="9" width="14.5" hidden="0" customWidth="1"/>
    <x:col min="10" max="10" width="14.5" hidden="0" customWidth="1"/>
    <x:col min="11" max="11" width="14.5" hidden="0" customWidth="1"/>
    <x:col min="12" max="12" width="14.5" hidden="0" customWidth="1"/>
    <x:col min="13" max="13" width="14.5" hidden="0" customWidth="1"/>
    <x:col min="14" max="14" width="14.5" hidden="0" customWidth="1"/>
    <x:col min="15" max="15" width="14.5" hidden="0" customWidth="1"/>
    <x:col min="16" max="16" width="14.5" hidden="0" customWidth="1"/>
    <x:col min="17" max="17" width="14.5" hidden="0" customWidth="1"/>
    <x:col min="18" max="18" width="14.5" hidden="0" customWidth="1"/>
    <x:col min="19" max="19" width="14.5" hidden="0" customWidth="1"/>
    <x:col min="20" max="20" width="14.5" hidden="0" customWidth="1"/>
    <x:col min="21" max="21" width="14.5" hidden="0" customWidth="1"/>
    <x:col min="22" max="22" width="14.5" hidden="0" customWidth="1"/>
    <x:col min="23" max="23" width="14.5" hidden="0" customWidth="1"/>
    <x:col min="24" max="24" width="14.5" hidden="0" customWidth="1"/>
    <x:col min="25" max="25" width="14.5" hidden="0" customWidth="1"/>
    <x:col min="26" max="26" width="14.5" hidden="0" customWidth="1"/>
    <x:col min="27" max="27" width="14.5" hidden="0" customWidth="1"/>
  </x:cols>
  <x:sheetData>
    <x:row r="1" ht="19.200000762939453" hidden="0" customHeight="1">
      <x:c r="A1" s="2" t="str">
        <x:v>P&amp;L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15" hidden="0" customHeight="1">
      <x:c r="A2" s="4" t="str">
        <x:v>Monthly P&amp;L with Year 1 and Year 2 totals.</x:v>
      </x:c>
    </x:row>
    <x:row r="3"/>
    <x:row r="4" ht="15" hidden="0" customHeight="1">
      <x:c r="A4" s="10" t="str">
        <x:v>Metric</x:v>
      </x:c>
      <x:c r="B4" s="11" t="str">
        <x:v>M1</x:v>
      </x:c>
      <x:c r="C4" s="11" t="str">
        <x:v>M2</x:v>
      </x:c>
      <x:c r="D4" s="11" t="str">
        <x:v>M3</x:v>
      </x:c>
      <x:c r="E4" s="11" t="str">
        <x:v>M4</x:v>
      </x:c>
      <x:c r="F4" s="11" t="str">
        <x:v>M5</x:v>
      </x:c>
      <x:c r="G4" s="11" t="str">
        <x:v>M6</x:v>
      </x:c>
      <x:c r="H4" s="11" t="str">
        <x:v>M7</x:v>
      </x:c>
      <x:c r="I4" s="11" t="str">
        <x:v>M8</x:v>
      </x:c>
      <x:c r="J4" s="11" t="str">
        <x:v>M9</x:v>
      </x:c>
      <x:c r="K4" s="11" t="str">
        <x:v>M10</x:v>
      </x:c>
      <x:c r="L4" s="11" t="str">
        <x:v>M11</x:v>
      </x:c>
      <x:c r="M4" s="11" t="str">
        <x:v>M12</x:v>
      </x:c>
      <x:c r="N4" s="11" t="str">
        <x:v>M13</x:v>
      </x:c>
      <x:c r="O4" s="11" t="str">
        <x:v>M14</x:v>
      </x:c>
      <x:c r="P4" s="11" t="str">
        <x:v>M15</x:v>
      </x:c>
      <x:c r="Q4" s="11" t="str">
        <x:v>M16</x:v>
      </x:c>
      <x:c r="R4" s="11" t="str">
        <x:v>M17</x:v>
      </x:c>
      <x:c r="S4" s="11" t="str">
        <x:v>M18</x:v>
      </x:c>
      <x:c r="T4" s="11" t="str">
        <x:v>M19</x:v>
      </x:c>
      <x:c r="U4" s="11" t="str">
        <x:v>M20</x:v>
      </x:c>
      <x:c r="V4" s="11" t="str">
        <x:v>M21</x:v>
      </x:c>
      <x:c r="W4" s="11" t="str">
        <x:v>M22</x:v>
      </x:c>
      <x:c r="X4" s="11" t="str">
        <x:v>M23</x:v>
      </x:c>
      <x:c r="Y4" s="11" t="str">
        <x:v>M24</x:v>
      </x:c>
      <x:c r="Z4" s="11" t="str">
        <x:v>Year 1</x:v>
      </x:c>
      <x:c r="AA4" s="12" t="str">
        <x:v>Year 2</x:v>
      </x:c>
    </x:row>
    <x:row r="5" ht="15" hidden="0" customHeight="1">
      <x:c r="A5" s="45" t="str">
        <x:v>Income Statement</x:v>
      </x:c>
      <x:c r="B5" s="46" t="str">
        <x:v>Income Statement</x:v>
      </x:c>
      <x:c r="C5" s="46" t="str">
        <x:v>Income Statement</x:v>
      </x:c>
      <x:c r="D5" s="46" t="str">
        <x:v>Income Statement</x:v>
      </x:c>
      <x:c r="E5" s="46" t="str">
        <x:v>Income Statement</x:v>
      </x:c>
      <x:c r="F5" s="46" t="str">
        <x:v>Income Statement</x:v>
      </x:c>
      <x:c r="G5" s="46" t="str">
        <x:v>Income Statement</x:v>
      </x:c>
      <x:c r="H5" s="46" t="str">
        <x:v>Income Statement</x:v>
      </x:c>
      <x:c r="I5" s="46" t="str">
        <x:v>Income Statement</x:v>
      </x:c>
      <x:c r="J5" s="46" t="str">
        <x:v>Income Statement</x:v>
      </x:c>
      <x:c r="K5" s="46" t="str">
        <x:v>Income Statement</x:v>
      </x:c>
      <x:c r="L5" s="46" t="str">
        <x:v>Income Statement</x:v>
      </x:c>
      <x:c r="M5" s="46" t="str">
        <x:v>Income Statement</x:v>
      </x:c>
      <x:c r="N5" s="46" t="str">
        <x:v>Income Statement</x:v>
      </x:c>
      <x:c r="O5" s="46" t="str">
        <x:v>Income Statement</x:v>
      </x:c>
      <x:c r="P5" s="46" t="str">
        <x:v>Income Statement</x:v>
      </x:c>
      <x:c r="Q5" s="46" t="str">
        <x:v>Income Statement</x:v>
      </x:c>
      <x:c r="R5" s="46" t="str">
        <x:v>Income Statement</x:v>
      </x:c>
      <x:c r="S5" s="46" t="str">
        <x:v>Income Statement</x:v>
      </x:c>
      <x:c r="T5" s="46" t="str">
        <x:v>Income Statement</x:v>
      </x:c>
      <x:c r="U5" s="46" t="str">
        <x:v>Income Statement</x:v>
      </x:c>
      <x:c r="V5" s="46" t="str">
        <x:v>Income Statement</x:v>
      </x:c>
      <x:c r="W5" s="46" t="str">
        <x:v>Income Statement</x:v>
      </x:c>
      <x:c r="X5" s="46" t="str">
        <x:v>Income Statement</x:v>
      </x:c>
      <x:c r="Y5" s="46" t="str">
        <x:v>Income Statement</x:v>
      </x:c>
      <x:c r="Z5" s="46" t="str">
        <x:v>Income Statement</x:v>
      </x:c>
      <x:c r="AA5" s="47" t="str">
        <x:v>Income Statement</x:v>
      </x:c>
    </x:row>
    <x:row r="6" ht="15" hidden="0" customHeight="1">
      <x:c r="A6" t="str">
        <x:v>Subscription Revenue</x:v>
      </x:c>
      <x:c r="B6" s="74" t="n">
        <x:f>'Marketing &amp; Revenue Pipeline'!B44</x:f>
        <x:v>0.01120255</x:v>
      </x:c>
      <x:c r="C6" s="74" t="n">
        <x:f>'Marketing &amp; Revenue Pipeline'!C44</x:f>
        <x:v>0.04856246304347826</x:v>
      </x:c>
      <x:c r="D6" s="74" t="n">
        <x:f>'Marketing &amp; Revenue Pipeline'!D44</x:f>
        <x:v>0.11218821739130436</x:v>
      </x:c>
      <x:c r="E6" s="74" t="n">
        <x:f>'Marketing &amp; Revenue Pipeline'!E44</x:f>
        <x:v>0.19210198260869565</x:v>
      </x:c>
      <x:c r="F6" s="74" t="n">
        <x:f>'Marketing &amp; Revenue Pipeline'!F44</x:f>
        <x:v>0.2842298576086956</x:v>
      </x:c>
      <x:c r="G6" s="74" t="n">
        <x:f>'Marketing &amp; Revenue Pipeline'!G44</x:f>
        <x:v>0.3887345597826087</x:v>
      </x:c>
      <x:c r="H6" s="74" t="n">
        <x:f>'Marketing &amp; Revenue Pipeline'!H44</x:f>
        <x:v>0.4999112173913044</x:v>
      </x:c>
      <x:c r="I6" s="74" t="n">
        <x:f>'Marketing &amp; Revenue Pipeline'!I44</x:f>
        <x:v>0.6147625760869565</x:v>
      </x:c>
      <x:c r="J6" s="74" t="n">
        <x:f>'Marketing &amp; Revenue Pipeline'!J44</x:f>
        <x:v>0.7345090163043477</x:v>
      </x:c>
      <x:c r="K6" s="74" t="n">
        <x:f>'Marketing &amp; Revenue Pipeline'!K44</x:f>
        <x:v>0.8603709184782607</x:v>
      </x:c>
      <x:c r="L6" s="74" t="n">
        <x:f>'Marketing &amp; Revenue Pipeline'!L44</x:f>
        <x:v>0.9912228206521739</x:v>
      </x:c>
      <x:c r="M6" s="74" t="n">
        <x:f>'Marketing &amp; Revenue Pipeline'!M44</x:f>
        <x:v>1.1278783097826086</x:v>
      </x:c>
      <x:c r="N6" s="74" t="n">
        <x:f>'Marketing &amp; Revenue Pipeline'!N44</x:f>
        <x:v>1.2845073586956521</x:v>
      </x:c>
      <x:c r="O6" s="74" t="n">
        <x:f>'Marketing &amp; Revenue Pipeline'!O44</x:f>
        <x:v>1.4728256195652176</x:v>
      </x:c>
      <x:c r="P6" s="74" t="n">
        <x:f>'Marketing &amp; Revenue Pipeline'!P44</x:f>
        <x:v>1.6890499130434782</x:v>
      </x:c>
      <x:c r="Q6" s="74" t="n">
        <x:f>'Marketing &amp; Revenue Pipeline'!Q44</x:f>
        <x:v>1.9305225217391306</x:v>
      </x:c>
      <x:c r="R6" s="74" t="n">
        <x:f>'Marketing &amp; Revenue Pipeline'!R44</x:f>
        <x:v>2.2068166521739125</x:v>
      </x:c>
      <x:c r="S6" s="74" t="n">
        <x:f>'Marketing &amp; Revenue Pipeline'!S44</x:f>
        <x:v>2.521186652173913</x:v>
      </x:c>
      <x:c r="T6" s="74" t="n">
        <x:f>'Marketing &amp; Revenue Pipeline'!T44</x:f>
        <x:v>2.825358610869565</x:v>
      </x:c>
      <x:c r="U6" s="74" t="n">
        <x:f>'Marketing &amp; Revenue Pipeline'!U44</x:f>
        <x:v>3.1238690891304346</x:v>
      </x:c>
      <x:c r="V6" s="74" t="n">
        <x:f>'Marketing &amp; Revenue Pipeline'!V44</x:f>
        <x:v>3.46716047826087</x:v>
      </x:c>
      <x:c r="W6" s="74" t="n">
        <x:f>'Marketing &amp; Revenue Pipeline'!W44</x:f>
        <x:v>3.846736760869565</x:v>
      </x:c>
      <x:c r="X6" s="74" t="n">
        <x:f>'Marketing &amp; Revenue Pipeline'!X44</x:f>
        <x:v>4.256158125</x:v>
      </x:c>
      <x:c r="Y6" s="74" t="n">
        <x:f>'Marketing &amp; Revenue Pipeline'!Y44</x:f>
        <x:v>4.695831364130435</x:v>
      </x:c>
      <x:c r="Z6" s="74" t="n">
        <x:f>SUM(B6:M6)</x:f>
        <x:v>5.865674489130434</x:v>
      </x:c>
      <x:c r="AA6" s="74" t="n">
        <x:f>SUM(N6:Y6)</x:f>
        <x:v>33.32002314565217</x:v>
      </x:c>
    </x:row>
    <x:row r="7" ht="15" hidden="0" customHeight="1">
      <x:c r="A7" t="str">
        <x:v>Partner/Product Revenue</x:v>
      </x:c>
      <x:c r="B7" s="74" t="n">
        <x:f>'Marketing &amp; Revenue Pipeline'!B45</x:f>
        <x:v>0.00037500000000000006</x:v>
      </x:c>
      <x:c r="C7" s="74" t="n">
        <x:f>'Marketing &amp; Revenue Pipeline'!C45</x:f>
        <x:v>0.0011424015780389578</x:v>
      </x:c>
      <x:c r="D7" s="74" t="n">
        <x:f>'Marketing &amp; Revenue Pipeline'!D45</x:f>
        <x:v>0.00236859949042492</x:v>
      </x:c>
      <x:c r="E7" s="74" t="n">
        <x:f>'Marketing &amp; Revenue Pipeline'!E45</x:f>
        <x:v>0.003911859949042493</x:v>
      </x:c>
      <x:c r="F7" s="74" t="n">
        <x:f>'Marketing &amp; Revenue Pipeline'!F45</x:f>
        <x:v>0.006029064272211721</x:v>
      </x:c>
      <x:c r="G7" s="74" t="n">
        <x:f>'Marketing &amp; Revenue Pipeline'!G45</x:f>
        <x:v>0.008850178762225694</x:v>
      </x:c>
      <x:c r="H7" s="74" t="n">
        <x:f>'Marketing &amp; Revenue Pipeline'!H45</x:f>
        <x:v>0.012522025766417363</x:v>
      </x:c>
      <x:c r="I7" s="74" t="n">
        <x:f>'Marketing &amp; Revenue Pipeline'!I45</x:f>
        <x:v>0.01720925454097148</x:v>
      </x:c>
      <x:c r="J7" s="74" t="n">
        <x:f>'Marketing &amp; Revenue Pipeline'!J45</x:f>
        <x:v>0.023095312114736585</x:v>
      </x:c>
      <x:c r="K7" s="74" t="n">
        <x:f>'Marketing &amp; Revenue Pipeline'!K45</x:f>
        <x:v>0.03038341415303691</x:v>
      </x:c>
      <x:c r="L7" s="74" t="n">
        <x:f>'Marketing &amp; Revenue Pipeline'!L45</x:f>
        <x:v>0.03907919628914276</x:v>
      </x:c>
      <x:c r="M7" s="74" t="n">
        <x:f>'Marketing &amp; Revenue Pipeline'!M45</x:f>
        <x:v>0.049587408564148935</x:v>
      </x:c>
      <x:c r="N7" s="74" t="n">
        <x:f>'Marketing &amp; Revenue Pipeline'!N45</x:f>
        <x:v>0.06328910166844745</x:v>
      </x:c>
      <x:c r="O7" s="74" t="n">
        <x:f>'Marketing &amp; Revenue Pipeline'!O45</x:f>
        <x:v>0.08056993507027206</x:v>
      </x:c>
      <x:c r="P7" s="74" t="n">
        <x:f>'Marketing &amp; Revenue Pipeline'!P45</x:f>
        <x:v>0.1014025643133065</x:v>
      </x:c>
      <x:c r="Q7" s="74" t="n">
        <x:f>'Marketing &amp; Revenue Pipeline'!Q45</x:f>
        <x:v>0.12629971644612475</x:v>
      </x:c>
      <x:c r="R7" s="74" t="n">
        <x:f>'Marketing &amp; Revenue Pipeline'!R45</x:f>
        <x:v>0.15669076189693434</x:v>
      </x:c>
      <x:c r="S7" s="74" t="n">
        <x:f>'Marketing &amp; Revenue Pipeline'!S45</x:f>
        <x:v>0.19249609599736997</x:v>
      </x:c>
      <x:c r="T7" s="74" t="n">
        <x:f>'Marketing &amp; Revenue Pipeline'!T45</x:f>
        <x:v>0.22802753862907874</x:v>
      </x:c>
      <x:c r="U7" s="74" t="n">
        <x:f>'Marketing &amp; Revenue Pipeline'!U45</x:f>
        <x:v>0.26912344867263915</x:v>
      </x:c>
      <x:c r="V7" s="74" t="n">
        <x:f>'Marketing &amp; Revenue Pipeline'!V45</x:f>
        <x:v>0.3164491822141859</x:v>
      </x:c>
      <x:c r="W7" s="74" t="n">
        <x:f>'Marketing &amp; Revenue Pipeline'!W45</x:f>
        <x:v>0.369328367715953</x:v>
      </x:c>
      <x:c r="X7" s="74" t="n">
        <x:f>'Marketing &amp; Revenue Pipeline'!X45</x:f>
        <x:v>0.42891757674447284</x:v>
      </x:c>
      <x:c r="Y7" s="74" t="n">
        <x:f>'Marketing &amp; Revenue Pipeline'!Y45</x:f>
        <x:v>0.495</x:v>
      </x:c>
      <x:c r="Z7" s="74" t="n">
        <x:f>SUM(B7:M7)</x:f>
        <x:v>0.19455371548039785</x:v>
      </x:c>
      <x:c r="AA7" s="74" t="n">
        <x:f>SUM(N7:Y7)</x:f>
        <x:v>2.827594289368785</x:v>
      </x:c>
    </x:row>
    <x:row r="8" ht="15" hidden="0" customHeight="1">
      <x:c r="A8" t="str">
        <x:v>Premium Advisory Revenue</x:v>
      </x:c>
      <x:c r="B8" s="74" t="n">
        <x:f>'Marketing &amp; Revenue Pipeline'!B46</x:f>
        <x:v>0.00011225000000000002</x:v>
      </x:c>
      <x:c r="C8" s="74" t="n">
        <x:f>'Marketing &amp; Revenue Pipeline'!C46</x:f>
        <x:v>0.0005148063957151859</x:v>
      </x:c>
      <x:c r="D8" s="74" t="n">
        <x:f>'Marketing &amp; Revenue Pipeline'!D46</x:f>
        <x:v>0.0012544643982356646</x:v>
      </x:c>
      <x:c r="E8" s="74" t="n">
        <x:f>'Marketing &amp; Revenue Pipeline'!E46</x:f>
        <x:v>0.0022596294896030248</x:v>
      </x:c>
      <x:c r="F8" s="74" t="n">
        <x:f>'Marketing &amp; Revenue Pipeline'!F46</x:f>
        <x:v>0.0035083991020793946</x:v>
      </x:c>
      <x:c r="G8" s="74" t="n">
        <x:f>'Marketing &amp; Revenue Pipeline'!G46</x:f>
        <x:v>0.005024160759294266</x:v>
      </x:c>
      <x:c r="H8" s="74" t="n">
        <x:f>'Marketing &amp; Revenue Pipeline'!H46</x:f>
        <x:v>0.006751436672967863</x:v>
      </x:c>
      <x:c r="I8" s="74" t="n">
        <x:f>'Marketing &amp; Revenue Pipeline'!I46</x:f>
        <x:v>0.008659633742911153</x:v>
      </x:c>
      <x:c r="J8" s="74" t="n">
        <x:f>'Marketing &amp; Revenue Pipeline'!J46</x:f>
        <x:v>0.010773054899180845</x:v>
      </x:c>
      <x:c r="K8" s="74" t="n">
        <x:f>'Marketing &amp; Revenue Pipeline'!K46</x:f>
        <x:v>0.013118838610586008</x:v>
      </x:c>
      <x:c r="L8" s="74" t="n">
        <x:f>'Marketing &amp; Revenue Pipeline'!L46</x:f>
        <x:v>0.015689827110901073</x:v>
      </x:c>
      <x:c r="M8" s="74" t="n">
        <x:f>'Marketing &amp; Revenue Pipeline'!M46</x:f>
        <x:v>0.018508066713925644</x:v>
      </x:c>
      <x:c r="N8" s="74" t="n">
        <x:f>'Marketing &amp; Revenue Pipeline'!N46</x:f>
        <x:v>0.021824425803402644</x:v>
      </x:c>
      <x:c r="O8" s="74" t="n">
        <x:f>'Marketing &amp; Revenue Pipeline'!O46</x:f>
        <x:v>0.02587957073093888</x:v>
      </x:c>
      <x:c r="P8" s="74" t="n">
        <x:f>'Marketing &amp; Revenue Pipeline'!P46</x:f>
        <x:v>0.03066005040957782</x:v>
      </x:c>
      <x:c r="Q8" s="74" t="n">
        <x:f>'Marketing &amp; Revenue Pipeline'!Q46</x:f>
        <x:v>0.03616470699432892</x:v>
      </x:c>
      <x:c r="R8" s="74" t="n">
        <x:f>'Marketing &amp; Revenue Pipeline'!R46</x:f>
        <x:v>0.04262243541272842</x:v>
      </x:c>
      <x:c r="S8" s="74" t="n">
        <x:f>'Marketing &amp; Revenue Pipeline'!S46</x:f>
        <x:v>0.050158660995589154</x:v>
      </x:c>
      <x:c r="T8" s="74" t="n">
        <x:f>'Marketing &amp; Revenue Pipeline'!T46</x:f>
        <x:v>0.0578512915879017</x:v>
      </x:c>
      <x:c r="U8" s="74" t="n">
        <x:f>'Marketing &amp; Revenue Pipeline'!U46</x:f>
        <x:v>0.06577808049779457</x:v>
      </x:c>
      <x:c r="V8" s="74" t="n">
        <x:f>'Marketing &amp; Revenue Pipeline'!V46</x:f>
        <x:v>0.07502060806553246</x:v>
      </x:c>
      <x:c r="W8" s="74" t="n">
        <x:f>'Marketing &amp; Revenue Pipeline'!W46</x:f>
        <x:v>0.08546814272211721</x:v>
      </x:c>
      <x:c r="X8" s="74" t="n">
        <x:f>'Marketing &amp; Revenue Pipeline'!X46</x:f>
        <x:v>0.09703709239130436</x:v>
      </x:c>
      <x:c r="Y8" s="74" t="n">
        <x:f>'Marketing &amp; Revenue Pipeline'!Y46</x:f>
        <x:v>0.10978897644927538</x:v>
      </x:c>
      <x:c r="Z8" s="74" t="n">
        <x:f>SUM(B8:M8)</x:f>
        <x:v>0.08617456789540012</x:v>
      </x:c>
      <x:c r="AA8" s="74" t="n">
        <x:f>SUM(N8:Y8)</x:f>
        <x:v>0.6982540420604915</x:v>
      </x:c>
    </x:row>
    <x:row r="9" ht="15" hidden="0" customHeight="1">
      <x:c r="A9" s="73" t="str">
        <x:v>Total Revenue</x:v>
      </x:c>
      <x:c r="B9" s="75" t="n">
        <x:f>SUM(B6:B8)</x:f>
        <x:v>0.0116898</x:v>
      </x:c>
      <x:c r="C9" s="75" t="n">
        <x:f>SUM(C6:C8)</x:f>
        <x:v>0.0502196710172324</x:v>
      </x:c>
      <x:c r="D9" s="75" t="n">
        <x:f>SUM(D6:D8)</x:f>
        <x:v>0.11581128127996494</x:v>
      </x:c>
      <x:c r="E9" s="75" t="n">
        <x:f>SUM(E6:E8)</x:f>
        <x:v>0.1982734720473412</x:v>
      </x:c>
      <x:c r="F9" s="75" t="n">
        <x:f>SUM(F6:F8)</x:f>
        <x:v>0.29376732098298675</x:v>
      </x:c>
      <x:c r="G9" s="75" t="n">
        <x:f>SUM(G6:G8)</x:f>
        <x:v>0.4026088993041287</x:v>
      </x:c>
      <x:c r="H9" s="75" t="n">
        <x:f>SUM(H6:H8)</x:f>
        <x:v>0.5191846798306896</x:v>
      </x:c>
      <x:c r="I9" s="75" t="n">
        <x:f>SUM(I6:I8)</x:f>
        <x:v>0.6406314643708391</x:v>
      </x:c>
      <x:c r="J9" s="75" t="n">
        <x:f>SUM(J6:J8)</x:f>
        <x:v>0.7683773833182652</x:v>
      </x:c>
      <x:c r="K9" s="75" t="n">
        <x:f>SUM(K6:K8)</x:f>
        <x:v>0.9038731712418837</x:v>
      </x:c>
      <x:c r="L9" s="75" t="n">
        <x:f>SUM(L6:L8)</x:f>
        <x:v>1.0459918440522178</x:v>
      </x:c>
      <x:c r="M9" s="75" t="n">
        <x:f>SUM(M6:M8)</x:f>
        <x:v>1.1959737850606833</x:v>
      </x:c>
      <x:c r="N9" s="75" t="n">
        <x:f>SUM(N6:N8)</x:f>
        <x:v>1.369620886167502</x:v>
      </x:c>
      <x:c r="O9" s="75" t="n">
        <x:f>SUM(O6:O8)</x:f>
        <x:v>1.5792751253664286</x:v>
      </x:c>
      <x:c r="P9" s="75" t="n">
        <x:f>SUM(P6:P8)</x:f>
        <x:v>1.8211125277663625</x:v>
      </x:c>
      <x:c r="Q9" s="75" t="n">
        <x:f>SUM(Q6:Q8)</x:f>
        <x:v>2.092986945179584</x:v>
      </x:c>
      <x:c r="R9" s="75" t="n">
        <x:f>SUM(R6:R8)</x:f>
        <x:v>2.406129849483575</x:v>
      </x:c>
      <x:c r="S9" s="75" t="n">
        <x:f>SUM(S6:S8)</x:f>
        <x:v>2.7638414091668717</x:v>
      </x:c>
      <x:c r="T9" s="75" t="n">
        <x:f>SUM(T6:T8)</x:f>
        <x:v>3.1112374410865455</x:v>
      </x:c>
      <x:c r="U9" s="75" t="n">
        <x:f>SUM(U6:U8)</x:f>
        <x:v>3.458770618300868</x:v>
      </x:c>
      <x:c r="V9" s="75" t="n">
        <x:f>SUM(V6:V8)</x:f>
        <x:v>3.858630268540588</x:v>
      </x:c>
      <x:c r="W9" s="75" t="n">
        <x:f>SUM(W6:W8)</x:f>
        <x:v>4.301533271307635</x:v>
      </x:c>
      <x:c r="X9" s="75" t="n">
        <x:f>SUM(X6:X8)</x:f>
        <x:v>4.782112794135777</x:v>
      </x:c>
      <x:c r="Y9" s="75" t="n">
        <x:f>SUM(Y6:Y8)</x:f>
        <x:v>5.3006203405797105</x:v>
      </x:c>
      <x:c r="Z9" s="75" t="n">
        <x:f>SUM(B9:M9)</x:f>
        <x:v>6.146402772506233</x:v>
      </x:c>
      <x:c r="AA9" s="75" t="n">
        <x:f>SUM(N9:Y9)</x:f>
        <x:v>36.84587147708145</x:v>
      </x:c>
    </x:row>
    <x:row r="10" ht="15" hidden="0" customHeight="1">
      <x:c r="A10" t="str">
        <x:v>Cost of Service</x:v>
      </x:c>
      <x:c r="B10" s="74" t="n">
        <x:f>'Cost of Service'!B14</x:f>
        <x:v>0.05007280850000001</x:v>
      </x:c>
      <x:c r="C10" s="74" t="n">
        <x:f>'Cost of Service'!C14</x:f>
        <x:v>0.13054981318178951</x:v>
      </x:c>
      <x:c r="D10" s="74" t="n">
        <x:f>'Cost of Service'!D14</x:f>
        <x:v>0.23342058378701955</x:v>
      </x:c>
      <x:c r="E10" s="74" t="n">
        <x:f>'Cost of Service'!E14</x:f>
        <x:v>0.3354670541701324</x:v>
      </x:c>
      <x:c r="F10" s="74" t="n">
        <x:f>'Cost of Service'!F14</x:f>
        <x:v>0.45124928386058605</x:v>
      </x:c>
      <x:c r="G10" s="74" t="n">
        <x:f>'Cost of Service'!G14</x:f>
        <x:v>0.580833338813012</x:v>
      </x:c>
      <x:c r="H10" s="74" t="n">
        <x:f>'Cost of Service'!H14</x:f>
        <x:v>0.7231048211342154</x:v>
      </x:c>
      <x:c r="I10" s="74" t="n">
        <x:f>'Cost of Service'!I14</x:f>
        <x:v>0.8773639183223064</x:v>
      </x:c>
      <x:c r="J10" s="74" t="n">
        <x:f>'Cost of Service'!J14</x:f>
        <x:v>1.043611795901859</x:v>
      </x:c>
      <x:c r="K10" s="74" t="n">
        <x:f>'Cost of Service'!K14</x:f>
        <x:v>1.2217656023842156</x:v>
      </x:c>
      <x:c r="L10" s="74" t="n">
        <x:f>'Cost of Service'!L14</x:f>
        <x:v>1.4044118698621613</x:v>
      </x:c>
      <x:c r="M10" s="74" t="n">
        <x:f>'Cost of Service'!M14</x:f>
        <x:v>1.5977826902544114</x:v>
      </x:c>
      <x:c r="N10" s="74" t="n">
        <x:f>'Cost of Service'!N14</x:f>
        <x:v>1.8321687615170132</x:v>
      </x:c>
      <x:c r="O10" s="74" t="n">
        <x:f>'Cost of Service'!O14</x:f>
        <x:v>2.1031779068541274</x:v>
      </x:c>
      <x:c r="P10" s="74" t="n">
        <x:f>'Cost of Service'!P14</x:f>
        <x:v>2.395547894921235</x:v>
      </x:c>
      <x:c r="Q10" s="74" t="n">
        <x:f>'Cost of Service'!Q14</x:f>
        <x:v>2.707911558374292</x:v>
      </x:c>
      <x:c r="R10" s="74" t="n">
        <x:f>'Cost of Service'!R14</x:f>
        <x:v>3.0556987075551354</x:v>
      </x:c>
      <x:c r="S10" s="74" t="n">
        <x:f>'Cost of Service'!S14</x:f>
        <x:v>3.42382038310649</x:v>
      </x:c>
      <x:c r="T10" s="74" t="n">
        <x:f>'Cost of Service'!T14</x:f>
        <x:v>3.7130112452372406</x:v>
      </x:c>
      <x:c r="U10" s="74" t="n">
        <x:f>'Cost of Service'!U14</x:f>
        <x:v>4.010906828198802</x:v>
      </x:c>
      <x:c r="V10" s="74" t="n">
        <x:f>'Cost of Service'!V14</x:f>
        <x:v>4.325797148664146</x:v>
      </x:c>
      <x:c r="W10" s="74" t="n">
        <x:f>'Cost of Service'!W14</x:f>
        <x:v>4.639873486304348</x:v>
      </x:c>
      <x:c r="X10" s="74" t="n">
        <x:f>'Cost of Service'!X14</x:f>
        <x:v>4.957820198948488</x:v>
      </x:c>
      <x:c r="Y10" s="74" t="n">
        <x:f>'Cost of Service'!Y14</x:f>
        <x:v>5.270856141865942</x:v>
      </x:c>
      <x:c r="Z10" s="74" t="n">
        <x:f>SUM(B10:M10)</x:f>
        <x:v>8.64963358017171</x:v>
      </x:c>
      <x:c r="AA10" s="74" t="n">
        <x:f>SUM(N10:Y10)</x:f>
        <x:v>42.43659026154726</x:v>
      </x:c>
    </x:row>
    <x:row r="11" ht="15" hidden="0" customHeight="1">
      <x:c r="A11" s="73" t="str">
        <x:v>Gross Profit</x:v>
      </x:c>
      <x:c r="B11" s="75" t="n">
        <x:f>B9-B10</x:f>
        <x:v>-0.03838300850000001</x:v>
      </x:c>
      <x:c r="C11" s="75" t="n">
        <x:f>C9-C10</x:f>
        <x:v>-0.08033014216455711</x:v>
      </x:c>
      <x:c r="D11" s="75" t="n">
        <x:f>D9-D10</x:f>
        <x:v>-0.1176093025070546</x:v>
      </x:c>
      <x:c r="E11" s="75" t="n">
        <x:f>E9-E10</x:f>
        <x:v>-0.1371935821227912</x:v>
      </x:c>
      <x:c r="F11" s="75" t="n">
        <x:f>F9-F10</x:f>
        <x:v>-0.1574819628775993</x:v>
      </x:c>
      <x:c r="G11" s="75" t="n">
        <x:f>G9-G10</x:f>
        <x:v>-0.17822443950888334</x:v>
      </x:c>
      <x:c r="H11" s="75" t="n">
        <x:f>H9-H10</x:f>
        <x:v>-0.20392014130352576</x:v>
      </x:c>
      <x:c r="I11" s="75" t="n">
        <x:f>I9-I10</x:f>
        <x:v>-0.23673245395146736</x:v>
      </x:c>
      <x:c r="J11" s="75" t="n">
        <x:f>J9-J10</x:f>
        <x:v>-0.2752344125835937</x:v>
      </x:c>
      <x:c r="K11" s="75" t="n">
        <x:f>K9-K10</x:f>
        <x:v>-0.3178924311423319</x:v>
      </x:c>
      <x:c r="L11" s="75" t="n">
        <x:f>L9-L10</x:f>
        <x:v>-0.3584200258099435</x:v>
      </x:c>
      <x:c r="M11" s="75" t="n">
        <x:f>M9-M10</x:f>
        <x:v>-0.40180890519372814</x:v>
      </x:c>
      <x:c r="N11" s="75" t="n">
        <x:f>N9-N10</x:f>
        <x:v>-0.46254787534951114</x:v>
      </x:c>
      <x:c r="O11" s="75" t="n">
        <x:f>O9-O10</x:f>
        <x:v>-0.5239027814876989</x:v>
      </x:c>
      <x:c r="P11" s="75" t="n">
        <x:f>P9-P10</x:f>
        <x:v>-0.5744353671548725</x:v>
      </x:c>
      <x:c r="Q11" s="75" t="n">
        <x:f>Q9-Q10</x:f>
        <x:v>-0.6149246131947077</x:v>
      </x:c>
      <x:c r="R11" s="75" t="n">
        <x:f>R9-R10</x:f>
        <x:v>-0.6495688580715604</x:v>
      </x:c>
      <x:c r="S11" s="75" t="n">
        <x:f>S9-S10</x:f>
        <x:v>-0.6599789739396185</x:v>
      </x:c>
      <x:c r="T11" s="75" t="n">
        <x:f>T9-T10</x:f>
        <x:v>-0.601773804150695</x:v>
      </x:c>
      <x:c r="U11" s="75" t="n">
        <x:f>U9-U10</x:f>
        <x:v>-0.5521362098979341</x:v>
      </x:c>
      <x:c r="V11" s="75" t="n">
        <x:f>V9-V10</x:f>
        <x:v>-0.4671668801235582</x:v>
      </x:c>
      <x:c r="W11" s="75" t="n">
        <x:f>W9-W10</x:f>
        <x:v>-0.3383402149967125</x:v>
      </x:c>
      <x:c r="X11" s="75" t="n">
        <x:f>X9-X10</x:f>
        <x:v>-0.17570740481271052</x:v>
      </x:c>
      <x:c r="Y11" s="75" t="n">
        <x:f>Y9-Y10</x:f>
        <x:v>0.02976419871376823</x:v>
      </x:c>
      <x:c r="Z11" s="75" t="n">
        <x:f>SUM(B11:M11)</x:f>
        <x:v>-2.503230807665476</x:v>
      </x:c>
      <x:c r="AA11" s="75" t="n">
        <x:f>SUM(N11:Y11)</x:f>
        <x:v>-5.590718784465811</x:v>
      </x:c>
    </x:row>
    <x:row r="12" ht="15" hidden="0" customHeight="1">
      <x:c r="A12" t="str">
        <x:v>Gross Margin %</x:v>
      </x:c>
      <x:c r="B12" s="76" t="n">
        <x:f>IF(B9&gt;0,B11/B9,0)</x:f>
        <x:v>-3.2834615220106427</x:v>
      </x:c>
      <x:c r="C12" s="76" t="n">
        <x:f>IF(C9&gt;0,C11/C9,0)</x:f>
        <x:v>-1.5995752369025393</x:v>
      </x:c>
      <x:c r="D12" s="76" t="n">
        <x:f>IF(D9&gt;0,D11/D9,0)</x:f>
        <x:v>-1.0155254411074435</x:v>
      </x:c>
      <x:c r="E12" s="76" t="n">
        <x:f>IF(E9&gt;0,E11/E9,0)</x:f>
        <x:v>-0.6919411896415163</x:v>
      </x:c>
      <x:c r="F12" s="76" t="n">
        <x:f>IF(F9&gt;0,F11/F9,0)</x:f>
        <x:v>-0.5360771999780047</x:v>
      </x:c>
      <x:c r="G12" s="76" t="n">
        <x:f>IF(G9&gt;0,G11/G9,0)</x:f>
        <x:v>-0.4426738698943997</x:v>
      </x:c>
      <x:c r="H12" s="76" t="n">
        <x:f>IF(H9&gt;0,H11/H9,0)</x:f>
        <x:v>-0.39276995108951557</x:v>
      </x:c>
      <x:c r="I12" s="76" t="n">
        <x:f>IF(I9&gt;0,I11/I9,0)</x:f>
        <x:v>-0.36952985783169595</x:v>
      </x:c>
      <x:c r="J12" s="76" t="n">
        <x:f>IF(J9&gt;0,J11/J9,0)</x:f>
        <x:v>-0.3582021264017221</x:v>
      </x:c>
      <x:c r="K12" s="76" t="n">
        <x:f>IF(K9&gt;0,K11/K9,0)</x:f>
        <x:v>-0.35170026200198096</x:v>
      </x:c>
      <x:c r="L12" s="76" t="n">
        <x:f>IF(L9&gt;0,L11/L9,0)</x:f>
        <x:v>-0.3426604402778216</x:v>
      </x:c>
      <x:c r="M12" s="76" t="n">
        <x:f>IF(M9&gt;0,M11/M9,0)</x:f>
        <x:v>-0.335967987102109</x:v>
      </x:c>
      <x:c r="N12" s="76" t="n">
        <x:f>IF(N9&gt;0,N11/N9,0)</x:f>
        <x:v>-0.33771964199802834</x:v>
      </x:c>
      <x:c r="O12" s="76" t="n">
        <x:f>IF(O9&gt;0,O11/O9,0)</x:f>
        <x:v>-0.3317362333343541</x:v>
      </x:c>
      <x:c r="P12" s="76" t="n">
        <x:f>IF(P9&gt;0,P11/P9,0)</x:f>
        <x:v>-0.3154310117560012</x:v>
      </x:c>
      <x:c r="Q12" s="76" t="n">
        <x:f>IF(Q9&gt;0,Q11/Q9,0)</x:f>
        <x:v>-0.2938024121989664</x:v>
      </x:c>
      <x:c r="R12" s="76" t="n">
        <x:f>IF(R9&gt;0,R11/R9,0)</x:f>
        <x:v>-0.2699641742988129</x:v>
      </x:c>
      <x:c r="S12" s="76" t="n">
        <x:f>IF(S9&gt;0,S11/S9,0)</x:f>
        <x:v>-0.2387904645145908</x:v>
      </x:c>
      <x:c r="T12" s="76" t="n">
        <x:f>IF(T9&gt;0,T11/T9,0)</x:f>
        <x:v>-0.19341944018921808</x:v>
      </x:c>
      <x:c r="U12" s="76" t="n">
        <x:f>IF(U9&gt;0,U11/U9,0)</x:f>
        <x:v>-0.1596336591320915</x:v>
      </x:c>
      <x:c r="V12" s="76" t="n">
        <x:f>IF(V9&gt;0,V11/V9,0)</x:f>
        <x:v>-0.12107065139989434</x:v>
      </x:c>
      <x:c r="W12" s="76" t="n">
        <x:f>IF(W9&gt;0,W11/W9,0)</x:f>
        <x:v>-0.07865572428639138</x:v>
      </x:c>
      <x:c r="X12" s="76" t="n">
        <x:f>IF(X9&gt;0,X11/X9,0)</x:f>
        <x:v>-0.03674263079452611</x:v>
      </x:c>
      <x:c r="Y12" s="76" t="n">
        <x:f>IF(Y9&gt;0,Y11/Y9,0)</x:f>
        <x:v>0.005615229313049239</x:v>
      </x:c>
      <x:c r="Z12" s="76" t="n">
        <x:f>IF(Z9&gt;0,Z11/Z9,0)</x:f>
        <x:v>-0.4072676165744941</x:v>
      </x:c>
      <x:c r="AA12" s="76" t="n">
        <x:f>IF(AA9&gt;0,AA11/AA9,0)</x:f>
        <x:v>-0.1517325703082719</x:v>
      </x:c>
    </x:row>
    <x:row r="13" ht="15" hidden="0" customHeight="1">
      <x:c r="A13" t="str">
        <x:v>Product &amp; Technology Opex</x:v>
      </x:c>
      <x:c r="B13" s="74" t="n">
        <x:f>'Technology &amp; Product Investment'!B12</x:f>
        <x:v>4.4975000000000005</x:v>
      </x:c>
      <x:c r="C13" s="74" t="n">
        <x:f>'Technology &amp; Product Investment'!C12</x:f>
        <x:v>8.4975</x:v>
      </x:c>
      <x:c r="D13" s="74" t="n">
        <x:f>'Technology &amp; Product Investment'!D12</x:f>
        <x:v>4.4975000000000005</x:v>
      </x:c>
      <x:c r="E13" s="74" t="n">
        <x:f>'Technology &amp; Product Investment'!E12</x:f>
        <x:v>5.1475</x:v>
      </x:c>
      <x:c r="F13" s="74" t="n">
        <x:f>'Technology &amp; Product Investment'!F12</x:f>
        <x:v>11.147499999999999</x:v>
      </x:c>
      <x:c r="G13" s="74" t="n">
        <x:f>'Technology &amp; Product Investment'!G12</x:f>
        <x:v>9.147499999999999</x:v>
      </x:c>
      <x:c r="H13" s="74" t="n">
        <x:f>'Technology &amp; Product Investment'!H12</x:f>
        <x:v>5.875</x:v>
      </x:c>
      <x:c r="I13" s="74" t="n">
        <x:f>'Technology &amp; Product Investment'!I12</x:f>
        <x:v>10.875</x:v>
      </x:c>
      <x:c r="J13" s="74" t="n">
        <x:f>'Technology &amp; Product Investment'!J12</x:f>
        <x:v>5.875</x:v>
      </x:c>
      <x:c r="K13" s="74" t="n">
        <x:f>'Technology &amp; Product Investment'!K12</x:f>
        <x:v>5.875</x:v>
      </x:c>
      <x:c r="L13" s="74" t="n">
        <x:f>'Technology &amp; Product Investment'!L12</x:f>
        <x:v>5.875</x:v>
      </x:c>
      <x:c r="M13" s="74" t="n">
        <x:f>'Technology &amp; Product Investment'!M12</x:f>
        <x:v>10.875</x:v>
      </x:c>
      <x:c r="N13" s="74" t="n">
        <x:f>'Technology &amp; Product Investment'!N12</x:f>
        <x:v>6.828333333333333</x:v>
      </x:c>
      <x:c r="O13" s="74" t="n">
        <x:f>'Technology &amp; Product Investment'!O12</x:f>
        <x:v>6.828333333333333</x:v>
      </x:c>
      <x:c r="P13" s="74" t="n">
        <x:f>'Technology &amp; Product Investment'!P12</x:f>
        <x:v>6.828333333333333</x:v>
      </x:c>
      <x:c r="Q13" s="74" t="n">
        <x:f>'Technology &amp; Product Investment'!Q12</x:f>
        <x:v>6.828333333333333</x:v>
      </x:c>
      <x:c r="R13" s="74" t="n">
        <x:f>'Technology &amp; Product Investment'!R12</x:f>
        <x:v>6.828333333333333</x:v>
      </x:c>
      <x:c r="S13" s="74" t="n">
        <x:f>'Technology &amp; Product Investment'!S12</x:f>
        <x:v>16.828333333333337</x:v>
      </x:c>
      <x:c r="T13" s="74" t="n">
        <x:f>'Technology &amp; Product Investment'!T12</x:f>
        <x:v>6.828333333333333</x:v>
      </x:c>
      <x:c r="U13" s="74" t="n">
        <x:f>'Technology &amp; Product Investment'!U12</x:f>
        <x:v>6.828333333333333</x:v>
      </x:c>
      <x:c r="V13" s="74" t="n">
        <x:f>'Technology &amp; Product Investment'!V12</x:f>
        <x:v>6.828333333333333</x:v>
      </x:c>
      <x:c r="W13" s="74" t="n">
        <x:f>'Technology &amp; Product Investment'!W12</x:f>
        <x:v>6.828333333333333</x:v>
      </x:c>
      <x:c r="X13" s="74" t="n">
        <x:f>'Technology &amp; Product Investment'!X12</x:f>
        <x:v>6.828333333333333</x:v>
      </x:c>
      <x:c r="Y13" s="74" t="n">
        <x:f>'Technology &amp; Product Investment'!Y12</x:f>
        <x:v>16.828333333333337</x:v>
      </x:c>
      <x:c r="Z13" s="74" t="n">
        <x:f>SUM(B13:M13)</x:f>
        <x:v>88.185</x:v>
      </x:c>
      <x:c r="AA13" s="74" t="n">
        <x:f>SUM(N13:Y13)</x:f>
        <x:v>101.94</x:v>
      </x:c>
    </x:row>
    <x:row r="14" ht="15" hidden="0" customHeight="1">
      <x:c r="A14" t="str">
        <x:v>Sales &amp; Marketing Opex</x:v>
      </x:c>
      <x:c r="B14" s="74" t="n">
        <x:f>'Marketing &amp; Revenue Pipeline'!B27</x:f>
        <x:v>2.67</x:v>
      </x:c>
      <x:c r="C14" s="74" t="n">
        <x:f>'Marketing &amp; Revenue Pipeline'!C27</x:f>
        <x:v>2.73</x:v>
      </x:c>
      <x:c r="D14" s="74" t="n">
        <x:f>'Marketing &amp; Revenue Pipeline'!D27</x:f>
        <x:v>2.4</x:v>
      </x:c>
      <x:c r="E14" s="74" t="n">
        <x:f>'Marketing &amp; Revenue Pipeline'!E27</x:f>
        <x:v>0.93</x:v>
      </x:c>
      <x:c r="F14" s="74" t="n">
        <x:f>'Marketing &amp; Revenue Pipeline'!F27</x:f>
        <x:v>0.345</x:v>
      </x:c>
      <x:c r="G14" s="74" t="n">
        <x:f>'Marketing &amp; Revenue Pipeline'!G27</x:f>
        <x:v>0</x:v>
      </x:c>
      <x:c r="H14" s="74" t="n">
        <x:f>'Marketing &amp; Revenue Pipeline'!H27</x:f>
        <x:v>0.3125</x:v>
      </x:c>
      <x:c r="I14" s="74" t="n">
        <x:f>'Marketing &amp; Revenue Pipeline'!I27</x:f>
        <x:v>0.625</x:v>
      </x:c>
      <x:c r="J14" s="74" t="n">
        <x:f>'Marketing &amp; Revenue Pipeline'!J27</x:f>
        <x:v>0.9375</x:v>
      </x:c>
      <x:c r="K14" s="74" t="n">
        <x:f>'Marketing &amp; Revenue Pipeline'!K27</x:f>
        <x:v>1.25</x:v>
      </x:c>
      <x:c r="L14" s="74" t="n">
        <x:f>'Marketing &amp; Revenue Pipeline'!L27</x:f>
        <x:v>1.25</x:v>
      </x:c>
      <x:c r="M14" s="74" t="n">
        <x:f>'Marketing &amp; Revenue Pipeline'!M27</x:f>
        <x:v>1.5625</x:v>
      </x:c>
      <x:c r="N14" s="74" t="n">
        <x:f>'Marketing &amp; Revenue Pipeline'!N27</x:f>
        <x:v>2.0125</x:v>
      </x:c>
      <x:c r="O14" s="74" t="n">
        <x:f>'Marketing &amp; Revenue Pipeline'!O27</x:f>
        <x:v>2.9375</x:v>
      </x:c>
      <x:c r="P14" s="74" t="n">
        <x:f>'Marketing &amp; Revenue Pipeline'!P27</x:f>
        <x:v>3.4000000000000004</x:v>
      </x:c>
      <x:c r="Q14" s="74" t="n">
        <x:f>'Marketing &amp; Revenue Pipeline'!Q27</x:f>
        <x:v>3.8625</x:v>
      </x:c>
      <x:c r="R14" s="74" t="n">
        <x:f>'Marketing &amp; Revenue Pipeline'!R27</x:f>
        <x:v>4.7875</x:v>
      </x:c>
      <x:c r="S14" s="74" t="n">
        <x:f>'Marketing &amp; Revenue Pipeline'!S27</x:f>
        <x:v>5.25</x:v>
      </x:c>
      <x:c r="T14" s="74" t="n">
        <x:f>'Marketing &amp; Revenue Pipeline'!T27</x:f>
        <x:v>3.5265</x:v>
      </x:c>
      <x:c r="U14" s="74" t="n">
        <x:f>'Marketing &amp; Revenue Pipeline'!U27</x:f>
        <x:v>5.096</x:v>
      </x:c>
      <x:c r="V14" s="74" t="n">
        <x:f>'Marketing &amp; Revenue Pipeline'!V27</x:f>
        <x:v>6.3775</x:v>
      </x:c>
      <x:c r="W14" s="74" t="n">
        <x:f>'Marketing &amp; Revenue Pipeline'!W27</x:f>
        <x:v>6.3775</x:v>
      </x:c>
      <x:c r="X14" s="74" t="n">
        <x:f>'Marketing &amp; Revenue Pipeline'!X27</x:f>
        <x:v>6.58625</x:v>
      </x:c>
      <x:c r="Y14" s="74" t="n">
        <x:f>'Marketing &amp; Revenue Pipeline'!Y27</x:f>
        <x:v>6.58625</x:v>
      </x:c>
      <x:c r="Z14" s="74" t="n">
        <x:f>SUM(B14:M14)</x:f>
        <x:v>15.012500000000001</x:v>
      </x:c>
      <x:c r="AA14" s="74" t="n">
        <x:f>SUM(N14:Y14)</x:f>
        <x:v>56.8</x:v>
      </x:c>
    </x:row>
    <x:row r="15" ht="15" hidden="0" customHeight="1">
      <x:c r="A15" t="str">
        <x:v>Compliance &amp; G&amp;A</x:v>
      </x:c>
      <x:c r="B15" s="74" t="n">
        <x:f>'Compliance &amp; Regulatory'!B12+'Cash Flow &amp; Runway'!B10+'Cash Flow &amp; Runway'!B11</x:f>
        <x:v>12.6</x:v>
      </x:c>
      <x:c r="C15" s="74" t="n">
        <x:f>'Compliance &amp; Regulatory'!C12+'Cash Flow &amp; Runway'!C10+'Cash Flow &amp; Runway'!C11</x:f>
        <x:v>12.6</x:v>
      </x:c>
      <x:c r="D15" s="74" t="n">
        <x:f>'Compliance &amp; Regulatory'!D12+'Cash Flow &amp; Runway'!D10+'Cash Flow &amp; Runway'!D11</x:f>
        <x:v>12.6</x:v>
      </x:c>
      <x:c r="E15" s="74" t="n">
        <x:f>'Compliance &amp; Regulatory'!E12+'Cash Flow &amp; Runway'!E10+'Cash Flow &amp; Runway'!E11</x:f>
        <x:v>9.6</x:v>
      </x:c>
      <x:c r="F15" s="74" t="n">
        <x:f>'Compliance &amp; Regulatory'!F12+'Cash Flow &amp; Runway'!F10+'Cash Flow &amp; Runway'!F11</x:f>
        <x:v>4.6</x:v>
      </x:c>
      <x:c r="G15" s="74" t="n">
        <x:f>'Compliance &amp; Regulatory'!G12+'Cash Flow &amp; Runway'!G10+'Cash Flow &amp; Runway'!G11</x:f>
        <x:v>4.6</x:v>
      </x:c>
      <x:c r="H15" s="74" t="n">
        <x:f>'Compliance &amp; Regulatory'!H12+'Cash Flow &amp; Runway'!H10+'Cash Flow &amp; Runway'!H11</x:f>
        <x:v>6.35</x:v>
      </x:c>
      <x:c r="I15" s="74" t="n">
        <x:f>'Compliance &amp; Regulatory'!I12+'Cash Flow &amp; Runway'!I10+'Cash Flow &amp; Runway'!I11</x:f>
        <x:v>6.35</x:v>
      </x:c>
      <x:c r="J15" s="74" t="n">
        <x:f>'Compliance &amp; Regulatory'!J12+'Cash Flow &amp; Runway'!J10+'Cash Flow &amp; Runway'!J11</x:f>
        <x:v>6.35</x:v>
      </x:c>
      <x:c r="K15" s="74" t="n">
        <x:f>'Compliance &amp; Regulatory'!K12+'Cash Flow &amp; Runway'!K10+'Cash Flow &amp; Runway'!K11</x:f>
        <x:v>6.35</x:v>
      </x:c>
      <x:c r="L15" s="74" t="n">
        <x:f>'Compliance &amp; Regulatory'!L12+'Cash Flow &amp; Runway'!L10+'Cash Flow &amp; Runway'!L11</x:f>
        <x:v>6.35</x:v>
      </x:c>
      <x:c r="M15" s="74" t="n">
        <x:f>'Compliance &amp; Regulatory'!M12+'Cash Flow &amp; Runway'!M10+'Cash Flow &amp; Runway'!M11</x:f>
        <x:v>12.35</x:v>
      </x:c>
      <x:c r="N15" s="74" t="n">
        <x:f>'Compliance &amp; Regulatory'!N12+'Cash Flow &amp; Runway'!N10+'Cash Flow &amp; Runway'!N11</x:f>
        <x:v>8.225</x:v>
      </x:c>
      <x:c r="O15" s="74" t="n">
        <x:f>'Compliance &amp; Regulatory'!O12+'Cash Flow &amp; Runway'!O10+'Cash Flow &amp; Runway'!O11</x:f>
        <x:v>8.225</x:v>
      </x:c>
      <x:c r="P15" s="74" t="n">
        <x:f>'Compliance &amp; Regulatory'!P12+'Cash Flow &amp; Runway'!P10+'Cash Flow &amp; Runway'!P11</x:f>
        <x:v>8.225</x:v>
      </x:c>
      <x:c r="Q15" s="74" t="n">
        <x:f>'Compliance &amp; Regulatory'!Q12+'Cash Flow &amp; Runway'!Q10+'Cash Flow &amp; Runway'!Q11</x:f>
        <x:v>8.225</x:v>
      </x:c>
      <x:c r="R15" s="74" t="n">
        <x:f>'Compliance &amp; Regulatory'!R12+'Cash Flow &amp; Runway'!R10+'Cash Flow &amp; Runway'!R11</x:f>
        <x:v>8.225</x:v>
      </x:c>
      <x:c r="S15" s="74" t="n">
        <x:f>'Compliance &amp; Regulatory'!S12+'Cash Flow &amp; Runway'!S10+'Cash Flow &amp; Runway'!S11</x:f>
        <x:v>8.225</x:v>
      </x:c>
      <x:c r="T15" s="74" t="n">
        <x:f>'Compliance &amp; Regulatory'!T12+'Cash Flow &amp; Runway'!T10+'Cash Flow &amp; Runway'!T11</x:f>
        <x:v>8.225</x:v>
      </x:c>
      <x:c r="U15" s="74" t="n">
        <x:f>'Compliance &amp; Regulatory'!U12+'Cash Flow &amp; Runway'!U10+'Cash Flow &amp; Runway'!U11</x:f>
        <x:v>13.225</x:v>
      </x:c>
      <x:c r="V15" s="74" t="n">
        <x:f>'Compliance &amp; Regulatory'!V12+'Cash Flow &amp; Runway'!V10+'Cash Flow &amp; Runway'!V11</x:f>
        <x:v>8.225</x:v>
      </x:c>
      <x:c r="W15" s="74" t="n">
        <x:f>'Compliance &amp; Regulatory'!W12+'Cash Flow &amp; Runway'!W10+'Cash Flow &amp; Runway'!W11</x:f>
        <x:v>8.225</x:v>
      </x:c>
      <x:c r="X15" s="74" t="n">
        <x:f>'Compliance &amp; Regulatory'!X12+'Cash Flow &amp; Runway'!X10+'Cash Flow &amp; Runway'!X11</x:f>
        <x:v>8.225</x:v>
      </x:c>
      <x:c r="Y15" s="74" t="n">
        <x:f>'Compliance &amp; Regulatory'!Y12+'Cash Flow &amp; Runway'!Y10+'Cash Flow &amp; Runway'!Y11</x:f>
        <x:v>9.225</x:v>
      </x:c>
      <x:c r="Z15" s="74" t="n">
        <x:f>SUM(B15:M15)</x:f>
        <x:v>100.69999999999997</x:v>
      </x:c>
      <x:c r="AA15" s="74" t="n">
        <x:f>SUM(N15:Y15)</x:f>
        <x:v>104.69999999999997</x:v>
      </x:c>
    </x:row>
    <x:row r="16" ht="15" hidden="0" customHeight="1">
      <x:c r="A16" s="73" t="str">
        <x:v>Total Operating Expenses</x:v>
      </x:c>
      <x:c r="B16" s="75" t="n">
        <x:f>SUM(B13:B15)</x:f>
        <x:v>19.7675</x:v>
      </x:c>
      <x:c r="C16" s="75" t="n">
        <x:f>SUM(C13:C15)</x:f>
        <x:v>23.8275</x:v>
      </x:c>
      <x:c r="D16" s="75" t="n">
        <x:f>SUM(D13:D15)</x:f>
        <x:v>19.497500000000002</x:v>
      </x:c>
      <x:c r="E16" s="75" t="n">
        <x:f>SUM(E13:E15)</x:f>
        <x:v>15.677499999999998</x:v>
      </x:c>
      <x:c r="F16" s="75" t="n">
        <x:f>SUM(F13:F15)</x:f>
        <x:v>16.0925</x:v>
      </x:c>
      <x:c r="G16" s="75" t="n">
        <x:f>SUM(G13:G15)</x:f>
        <x:v>13.747499999999999</x:v>
      </x:c>
      <x:c r="H16" s="75" t="n">
        <x:f>SUM(H13:H15)</x:f>
        <x:v>12.5375</x:v>
      </x:c>
      <x:c r="I16" s="75" t="n">
        <x:f>SUM(I13:I15)</x:f>
        <x:v>17.85</x:v>
      </x:c>
      <x:c r="J16" s="75" t="n">
        <x:f>SUM(J13:J15)</x:f>
        <x:v>13.1625</x:v>
      </x:c>
      <x:c r="K16" s="75" t="n">
        <x:f>SUM(K13:K15)</x:f>
        <x:v>13.475</x:v>
      </x:c>
      <x:c r="L16" s="75" t="n">
        <x:f>SUM(L13:L15)</x:f>
        <x:v>13.475</x:v>
      </x:c>
      <x:c r="M16" s="75" t="n">
        <x:f>SUM(M13:M15)</x:f>
        <x:v>24.7875</x:v>
      </x:c>
      <x:c r="N16" s="75" t="n">
        <x:f>SUM(N13:N15)</x:f>
        <x:v>17.06583333333333</x:v>
      </x:c>
      <x:c r="O16" s="75" t="n">
        <x:f>SUM(O13:O15)</x:f>
        <x:v>17.990833333333335</x:v>
      </x:c>
      <x:c r="P16" s="75" t="n">
        <x:f>SUM(P13:P15)</x:f>
        <x:v>18.453333333333333</x:v>
      </x:c>
      <x:c r="Q16" s="75" t="n">
        <x:f>SUM(Q13:Q15)</x:f>
        <x:v>18.91583333333333</x:v>
      </x:c>
      <x:c r="R16" s="75" t="n">
        <x:f>SUM(R13:R15)</x:f>
        <x:v>19.840833333333332</x:v>
      </x:c>
      <x:c r="S16" s="75" t="n">
        <x:f>SUM(S13:S15)</x:f>
        <x:v>30.303333333333335</x:v>
      </x:c>
      <x:c r="T16" s="75" t="n">
        <x:f>SUM(T13:T15)</x:f>
        <x:v>18.579833333333333</x:v>
      </x:c>
      <x:c r="U16" s="75" t="n">
        <x:f>SUM(U13:U15)</x:f>
        <x:v>25.14933333333333</x:v>
      </x:c>
      <x:c r="V16" s="75" t="n">
        <x:f>SUM(V13:V15)</x:f>
        <x:v>21.430833333333332</x:v>
      </x:c>
      <x:c r="W16" s="75" t="n">
        <x:f>SUM(W13:W15)</x:f>
        <x:v>21.430833333333332</x:v>
      </x:c>
      <x:c r="X16" s="75" t="n">
        <x:f>SUM(X13:X15)</x:f>
        <x:v>21.639583333333334</x:v>
      </x:c>
      <x:c r="Y16" s="75" t="n">
        <x:f>SUM(Y13:Y15)</x:f>
        <x:v>32.639583333333334</x:v>
      </x:c>
      <x:c r="Z16" s="75" t="n">
        <x:f>SUM(B16:M16)</x:f>
        <x:v>203.89749999999998</x:v>
      </x:c>
      <x:c r="AA16" s="75" t="n">
        <x:f>SUM(N16:Y16)</x:f>
        <x:v>263.44000000000005</x:v>
      </x:c>
    </x:row>
    <x:row r="17" ht="15" hidden="0" customHeight="1">
      <x:c r="A17" s="73" t="str">
        <x:v>EBITDA</x:v>
      </x:c>
      <x:c r="B17" s="75" t="n">
        <x:f>B11-B16</x:f>
        <x:v>-19.805883008499997</x:v>
      </x:c>
      <x:c r="C17" s="75" t="n">
        <x:f>C11-C16</x:f>
        <x:v>-23.907830142164556</x:v>
      </x:c>
      <x:c r="D17" s="75" t="n">
        <x:f>D11-D16</x:f>
        <x:v>-19.615109302507058</x:v>
      </x:c>
      <x:c r="E17" s="75" t="n">
        <x:f>E11-E16</x:f>
        <x:v>-15.81469358212279</x:v>
      </x:c>
      <x:c r="F17" s="75" t="n">
        <x:f>F11-F16</x:f>
        <x:v>-16.2499819628776</x:v>
      </x:c>
      <x:c r="G17" s="75" t="n">
        <x:f>G11-G16</x:f>
        <x:v>-13.925724439508882</x:v>
      </x:c>
      <x:c r="H17" s="75" t="n">
        <x:f>H11-H16</x:f>
        <x:v>-12.741420141303525</x:v>
      </x:c>
      <x:c r="I17" s="75" t="n">
        <x:f>I11-I16</x:f>
        <x:v>-18.08673245395147</x:v>
      </x:c>
      <x:c r="J17" s="75" t="n">
        <x:f>J11-J16</x:f>
        <x:v>-13.437734412583593</x:v>
      </x:c>
      <x:c r="K17" s="75" t="n">
        <x:f>K11-K16</x:f>
        <x:v>-13.79289243114233</x:v>
      </x:c>
      <x:c r="L17" s="75" t="n">
        <x:f>L11-L16</x:f>
        <x:v>-13.833420025809943</x:v>
      </x:c>
      <x:c r="M17" s="75" t="n">
        <x:f>M11-M16</x:f>
        <x:v>-25.18930890519373</x:v>
      </x:c>
      <x:c r="N17" s="75" t="n">
        <x:f>N11-N16</x:f>
        <x:v>-17.52838120868284</x:v>
      </x:c>
      <x:c r="O17" s="75" t="n">
        <x:f>O11-O16</x:f>
        <x:v>-18.514736114821034</x:v>
      </x:c>
      <x:c r="P17" s="75" t="n">
        <x:f>P11-P16</x:f>
        <x:v>-19.027768700488206</x:v>
      </x:c>
      <x:c r="Q17" s="75" t="n">
        <x:f>Q11-Q16</x:f>
        <x:v>-19.53075794652804</x:v>
      </x:c>
      <x:c r="R17" s="75" t="n">
        <x:f>R11-R16</x:f>
        <x:v>-20.490402191404893</x:v>
      </x:c>
      <x:c r="S17" s="75" t="n">
        <x:f>S11-S16</x:f>
        <x:v>-30.963312307272954</x:v>
      </x:c>
      <x:c r="T17" s="75" t="n">
        <x:f>T11-T16</x:f>
        <x:v>-19.18160713748403</x:v>
      </x:c>
      <x:c r="U17" s="75" t="n">
        <x:f>U11-U16</x:f>
        <x:v>-25.701469543231266</x:v>
      </x:c>
      <x:c r="V17" s="75" t="n">
        <x:f>V11-V16</x:f>
        <x:v>-21.89800021345689</x:v>
      </x:c>
      <x:c r="W17" s="75" t="n">
        <x:f>W11-W16</x:f>
        <x:v>-21.769173548330045</x:v>
      </x:c>
      <x:c r="X17" s="75" t="n">
        <x:f>X11-X16</x:f>
        <x:v>-21.815290738146047</x:v>
      </x:c>
      <x:c r="Y17" s="75" t="n">
        <x:f>Y11-Y16</x:f>
        <x:v>-32.60981913461956</x:v>
      </x:c>
      <x:c r="Z17" s="75" t="n">
        <x:f>SUM(B17:M17)</x:f>
        <x:v>-206.40073080766547</x:v>
      </x:c>
      <x:c r="AA17" s="75" t="n">
        <x:f>SUM(N17:Y17)</x:f>
        <x:v>-269.0307187844659</x:v>
      </x:c>
    </x:row>
    <x:row r="18" ht="15" hidden="0" customHeight="1">
      <x:c r="A18" t="str">
        <x:v>Depreciation &amp; Amortisation</x:v>
      </x:c>
      <x:c r="B18" s="74" t="n">
        <x:f>'Technology &amp; Product Investment'!B16</x:f>
        <x:v>0</x:v>
      </x:c>
      <x:c r="C18" s="74" t="n">
        <x:f>'Technology &amp; Product Investment'!C16</x:f>
        <x:v>0.05979166666666666</x:v>
      </x:c>
      <x:c r="D18" s="74" t="n">
        <x:f>'Technology &amp; Product Investment'!D16</x:f>
        <x:v>0.11958333333333332</x:v>
      </x:c>
      <x:c r="E18" s="74" t="n">
        <x:f>'Technology &amp; Product Investment'!E16</x:f>
        <x:v>0.17937499999999998</x:v>
      </x:c>
      <x:c r="F18" s="74" t="n">
        <x:f>'Technology &amp; Product Investment'!F16</x:f>
        <x:v>0.24888888888888885</x:v>
      </x:c>
      <x:c r="G18" s="74" t="n">
        <x:f>'Technology &amp; Product Investment'!G16</x:f>
        <x:v>0.3184027777777777</x:v>
      </x:c>
      <x:c r="H18" s="74" t="n">
        <x:f>'Technology &amp; Product Investment'!H16</x:f>
        <x:v>0.3879166666666666</x:v>
      </x:c>
      <x:c r="I18" s="74" t="n">
        <x:f>'Technology &amp; Product Investment'!I16</x:f>
        <x:v>0.46083333333333326</x:v>
      </x:c>
      <x:c r="J18" s="74" t="n">
        <x:f>'Technology &amp; Product Investment'!J16</x:f>
        <x:v>0.53375</x:v>
      </x:c>
      <x:c r="K18" s="74" t="n">
        <x:f>'Technology &amp; Product Investment'!K16</x:f>
        <x:v>0.6066666666666666</x:v>
      </x:c>
      <x:c r="L18" s="74" t="n">
        <x:f>'Technology &amp; Product Investment'!L16</x:f>
        <x:v>0.6795833333333332</x:v>
      </x:c>
      <x:c r="M18" s="74" t="n">
        <x:f>'Technology &amp; Product Investment'!M16</x:f>
        <x:v>0.7524999999999998</x:v>
      </x:c>
      <x:c r="N18" s="74" t="n">
        <x:f>'Technology &amp; Product Investment'!N16</x:f>
        <x:v>0.8254166666666665</x:v>
      </x:c>
      <x:c r="O18" s="74" t="n">
        <x:f>'Technology &amp; Product Investment'!O16</x:f>
        <x:v>0.9125925925925924</x:v>
      </x:c>
      <x:c r="P18" s="74" t="n">
        <x:f>'Technology &amp; Product Investment'!P16</x:f>
        <x:v>0.9997685185185183</x:v>
      </x:c>
      <x:c r="Q18" s="74" t="n">
        <x:f>'Technology &amp; Product Investment'!Q16</x:f>
        <x:v>1.0869444444444443</x:v>
      </x:c>
      <x:c r="R18" s="74" t="n">
        <x:f>'Technology &amp; Product Investment'!R16</x:f>
        <x:v>1.1741203703703702</x:v>
      </x:c>
      <x:c r="S18" s="74" t="n">
        <x:f>'Technology &amp; Product Investment'!S16</x:f>
        <x:v>1.2612962962962961</x:v>
      </x:c>
      <x:c r="T18" s="74" t="n">
        <x:f>'Technology &amp; Product Investment'!T16</x:f>
        <x:v>1.348472222222222</x:v>
      </x:c>
      <x:c r="U18" s="74" t="n">
        <x:f>'Technology &amp; Product Investment'!U16</x:f>
        <x:v>1.435648148148148</x:v>
      </x:c>
      <x:c r="V18" s="74" t="n">
        <x:f>'Technology &amp; Product Investment'!V16</x:f>
        <x:v>1.522824074074074</x:v>
      </x:c>
      <x:c r="W18" s="74" t="n">
        <x:f>'Technology &amp; Product Investment'!W16</x:f>
        <x:v>1.6099999999999999</x:v>
      </x:c>
      <x:c r="X18" s="74" t="n">
        <x:f>'Technology &amp; Product Investment'!X16</x:f>
        <x:v>1.6971759259259258</x:v>
      </x:c>
      <x:c r="Y18" s="74" t="n">
        <x:f>'Technology &amp; Product Investment'!Y16</x:f>
        <x:v>1.7843518518518517</x:v>
      </x:c>
      <x:c r="Z18" s="74" t="n">
        <x:f>SUM(B18:M18)</x:f>
        <x:v>4.347291666666665</x:v>
      </x:c>
      <x:c r="AA18" s="74" t="n">
        <x:f>SUM(N18:Y18)</x:f>
        <x:v>15.65861111111111</x:v>
      </x:c>
    </x:row>
    <x:row r="19" ht="15" hidden="0" customHeight="1">
      <x:c r="A19" t="str">
        <x:v>EBIT</x:v>
      </x:c>
      <x:c r="B19" s="74" t="n">
        <x:f>B17-B18</x:f>
        <x:v>-19.805883008499997</x:v>
      </x:c>
      <x:c r="C19" s="74" t="n">
        <x:f>C17-C18</x:f>
        <x:v>-23.967621808831222</x:v>
      </x:c>
      <x:c r="D19" s="74" t="n">
        <x:f>D17-D18</x:f>
        <x:v>-19.734692635840393</x:v>
      </x:c>
      <x:c r="E19" s="74" t="n">
        <x:f>E17-E18</x:f>
        <x:v>-15.99406858212279</x:v>
      </x:c>
      <x:c r="F19" s="74" t="n">
        <x:f>F17-F18</x:f>
        <x:v>-16.49887085176649</x:v>
      </x:c>
      <x:c r="G19" s="74" t="n">
        <x:f>G17-G18</x:f>
        <x:v>-14.244127217286659</x:v>
      </x:c>
      <x:c r="H19" s="74" t="n">
        <x:f>H17-H18</x:f>
        <x:v>-13.129336807970192</x:v>
      </x:c>
      <x:c r="I19" s="74" t="n">
        <x:f>I17-I18</x:f>
        <x:v>-18.547565787284803</x:v>
      </x:c>
      <x:c r="J19" s="74" t="n">
        <x:f>J17-J18</x:f>
        <x:v>-13.971484412583592</x:v>
      </x:c>
      <x:c r="K19" s="74" t="n">
        <x:f>K17-K18</x:f>
        <x:v>-14.399559097808998</x:v>
      </x:c>
      <x:c r="L19" s="74" t="n">
        <x:f>L17-L18</x:f>
        <x:v>-14.513003359143276</x:v>
      </x:c>
      <x:c r="M19" s="74" t="n">
        <x:f>M17-M18</x:f>
        <x:v>-25.94180890519373</x:v>
      </x:c>
      <x:c r="N19" s="74" t="n">
        <x:f>N17-N18</x:f>
        <x:v>-18.353797875349507</x:v>
      </x:c>
      <x:c r="O19" s="74" t="n">
        <x:f>O17-O18</x:f>
        <x:v>-19.427328707413626</x:v>
      </x:c>
      <x:c r="P19" s="74" t="n">
        <x:f>P17-P18</x:f>
        <x:v>-20.027537219006724</x:v>
      </x:c>
      <x:c r="Q19" s="74" t="n">
        <x:f>Q17-Q18</x:f>
        <x:v>-20.617702390972486</x:v>
      </x:c>
      <x:c r="R19" s="74" t="n">
        <x:f>R17-R18</x:f>
        <x:v>-21.664522561775264</x:v>
      </x:c>
      <x:c r="S19" s="74" t="n">
        <x:f>S17-S18</x:f>
        <x:v>-32.22460860356925</x:v>
      </x:c>
      <x:c r="T19" s="74" t="n">
        <x:f>T17-T18</x:f>
        <x:v>-20.53007935970625</x:v>
      </x:c>
      <x:c r="U19" s="74" t="n">
        <x:f>U17-U18</x:f>
        <x:v>-27.137117691379412</x:v>
      </x:c>
      <x:c r="V19" s="74" t="n">
        <x:f>V17-V18</x:f>
        <x:v>-23.420824287530962</x:v>
      </x:c>
      <x:c r="W19" s="74" t="n">
        <x:f>W17-W18</x:f>
        <x:v>-23.379173548330044</x:v>
      </x:c>
      <x:c r="X19" s="74" t="n">
        <x:f>X17-X18</x:f>
        <x:v>-23.512466664071972</x:v>
      </x:c>
      <x:c r="Y19" s="74" t="n">
        <x:f>Y17-Y18</x:f>
        <x:v>-34.394170986471416</x:v>
      </x:c>
      <x:c r="Z19" s="74" t="n">
        <x:f>SUM(B19:M19)</x:f>
        <x:v>-210.74802247433217</x:v>
      </x:c>
      <x:c r="AA19" s="74" t="n">
        <x:f>SUM(N19:Y19)</x:f>
        <x:v>-284.6893298955769</x:v>
      </x:c>
    </x:row>
    <x:row r="20" ht="15" hidden="0" customHeight="1">
      <x:c r="A20" t="str">
        <x:v>Finance Costs</x:v>
      </x:c>
      <x:c r="B20" s="74" t="n">
        <x:f>'Assumptions'!$C$32</x:f>
        <x:v>0</x:v>
      </x:c>
      <x:c r="C20" s="74" t="n">
        <x:f>'Assumptions'!$C$32</x:f>
        <x:v>0</x:v>
      </x:c>
      <x:c r="D20" s="74" t="n">
        <x:f>'Assumptions'!$C$32</x:f>
        <x:v>0</x:v>
      </x:c>
      <x:c r="E20" s="74" t="n">
        <x:f>'Assumptions'!$C$32</x:f>
        <x:v>0</x:v>
      </x:c>
      <x:c r="F20" s="74" t="n">
        <x:f>'Assumptions'!$C$32</x:f>
        <x:v>0</x:v>
      </x:c>
      <x:c r="G20" s="74" t="n">
        <x:f>'Assumptions'!$C$32</x:f>
        <x:v>0</x:v>
      </x:c>
      <x:c r="H20" s="74" t="n">
        <x:f>'Assumptions'!$C$32</x:f>
        <x:v>0</x:v>
      </x:c>
      <x:c r="I20" s="74" t="n">
        <x:f>'Assumptions'!$C$32</x:f>
        <x:v>0</x:v>
      </x:c>
      <x:c r="J20" s="74" t="n">
        <x:f>'Assumptions'!$C$32</x:f>
        <x:v>0</x:v>
      </x:c>
      <x:c r="K20" s="74" t="n">
        <x:f>'Assumptions'!$C$32</x:f>
        <x:v>0</x:v>
      </x:c>
      <x:c r="L20" s="74" t="n">
        <x:f>'Assumptions'!$C$32</x:f>
        <x:v>0</x:v>
      </x:c>
      <x:c r="M20" s="74" t="n">
        <x:f>'Assumptions'!$C$32</x:f>
        <x:v>0</x:v>
      </x:c>
      <x:c r="N20" s="74" t="n">
        <x:f>'Assumptions'!$C$32</x:f>
        <x:v>0</x:v>
      </x:c>
      <x:c r="O20" s="74" t="n">
        <x:f>'Assumptions'!$C$32</x:f>
        <x:v>0</x:v>
      </x:c>
      <x:c r="P20" s="74" t="n">
        <x:f>'Assumptions'!$C$32</x:f>
        <x:v>0</x:v>
      </x:c>
      <x:c r="Q20" s="74" t="n">
        <x:f>'Assumptions'!$C$32</x:f>
        <x:v>0</x:v>
      </x:c>
      <x:c r="R20" s="74" t="n">
        <x:f>'Assumptions'!$C$32</x:f>
        <x:v>0</x:v>
      </x:c>
      <x:c r="S20" s="74" t="n">
        <x:f>'Assumptions'!$C$32</x:f>
        <x:v>0</x:v>
      </x:c>
      <x:c r="T20" s="74" t="n">
        <x:f>'Assumptions'!$C$32</x:f>
        <x:v>0</x:v>
      </x:c>
      <x:c r="U20" s="74" t="n">
        <x:f>'Assumptions'!$C$32</x:f>
        <x:v>0</x:v>
      </x:c>
      <x:c r="V20" s="74" t="n">
        <x:f>'Assumptions'!$C$32</x:f>
        <x:v>0</x:v>
      </x:c>
      <x:c r="W20" s="74" t="n">
        <x:f>'Assumptions'!$C$32</x:f>
        <x:v>0</x:v>
      </x:c>
      <x:c r="X20" s="74" t="n">
        <x:f>'Assumptions'!$C$32</x:f>
        <x:v>0</x:v>
      </x:c>
      <x:c r="Y20" s="74" t="n">
        <x:f>'Assumptions'!$C$32</x:f>
        <x:v>0</x:v>
      </x:c>
      <x:c r="Z20" s="74" t="n">
        <x:f>SUM(B20:M20)</x:f>
        <x:v>0</x:v>
      </x:c>
      <x:c r="AA20" s="74" t="n">
        <x:f>SUM(N20:Y20)</x:f>
        <x:v>0</x:v>
      </x:c>
    </x:row>
    <x:row r="21" ht="15" hidden="0" customHeight="1">
      <x:c r="A21" t="str">
        <x:v>Profit Before Tax</x:v>
      </x:c>
      <x:c r="B21" s="74" t="n">
        <x:f>B19-B20</x:f>
        <x:v>-19.805883008499997</x:v>
      </x:c>
      <x:c r="C21" s="74" t="n">
        <x:f>C19-C20</x:f>
        <x:v>-23.967621808831222</x:v>
      </x:c>
      <x:c r="D21" s="74" t="n">
        <x:f>D19-D20</x:f>
        <x:v>-19.734692635840393</x:v>
      </x:c>
      <x:c r="E21" s="74" t="n">
        <x:f>E19-E20</x:f>
        <x:v>-15.99406858212279</x:v>
      </x:c>
      <x:c r="F21" s="74" t="n">
        <x:f>F19-F20</x:f>
        <x:v>-16.49887085176649</x:v>
      </x:c>
      <x:c r="G21" s="74" t="n">
        <x:f>G19-G20</x:f>
        <x:v>-14.244127217286659</x:v>
      </x:c>
      <x:c r="H21" s="74" t="n">
        <x:f>H19-H20</x:f>
        <x:v>-13.129336807970192</x:v>
      </x:c>
      <x:c r="I21" s="74" t="n">
        <x:f>I19-I20</x:f>
        <x:v>-18.547565787284803</x:v>
      </x:c>
      <x:c r="J21" s="74" t="n">
        <x:f>J19-J20</x:f>
        <x:v>-13.971484412583592</x:v>
      </x:c>
      <x:c r="K21" s="74" t="n">
        <x:f>K19-K20</x:f>
        <x:v>-14.399559097808998</x:v>
      </x:c>
      <x:c r="L21" s="74" t="n">
        <x:f>L19-L20</x:f>
        <x:v>-14.513003359143276</x:v>
      </x:c>
      <x:c r="M21" s="74" t="n">
        <x:f>M19-M20</x:f>
        <x:v>-25.94180890519373</x:v>
      </x:c>
      <x:c r="N21" s="74" t="n">
        <x:f>N19-N20</x:f>
        <x:v>-18.353797875349507</x:v>
      </x:c>
      <x:c r="O21" s="74" t="n">
        <x:f>O19-O20</x:f>
        <x:v>-19.427328707413626</x:v>
      </x:c>
      <x:c r="P21" s="74" t="n">
        <x:f>P19-P20</x:f>
        <x:v>-20.027537219006724</x:v>
      </x:c>
      <x:c r="Q21" s="74" t="n">
        <x:f>Q19-Q20</x:f>
        <x:v>-20.617702390972486</x:v>
      </x:c>
      <x:c r="R21" s="74" t="n">
        <x:f>R19-R20</x:f>
        <x:v>-21.664522561775264</x:v>
      </x:c>
      <x:c r="S21" s="74" t="n">
        <x:f>S19-S20</x:f>
        <x:v>-32.22460860356925</x:v>
      </x:c>
      <x:c r="T21" s="74" t="n">
        <x:f>T19-T20</x:f>
        <x:v>-20.53007935970625</x:v>
      </x:c>
      <x:c r="U21" s="74" t="n">
        <x:f>U19-U20</x:f>
        <x:v>-27.137117691379412</x:v>
      </x:c>
      <x:c r="V21" s="74" t="n">
        <x:f>V19-V20</x:f>
        <x:v>-23.420824287530962</x:v>
      </x:c>
      <x:c r="W21" s="74" t="n">
        <x:f>W19-W20</x:f>
        <x:v>-23.379173548330044</x:v>
      </x:c>
      <x:c r="X21" s="74" t="n">
        <x:f>X19-X20</x:f>
        <x:v>-23.512466664071972</x:v>
      </x:c>
      <x:c r="Y21" s="74" t="n">
        <x:f>Y19-Y20</x:f>
        <x:v>-34.394170986471416</x:v>
      </x:c>
      <x:c r="Z21" s="74" t="n">
        <x:f>SUM(B21:M21)</x:f>
        <x:v>-210.74802247433217</x:v>
      </x:c>
      <x:c r="AA21" s="74" t="n">
        <x:f>SUM(N21:Y21)</x:f>
        <x:v>-284.6893298955769</x:v>
      </x:c>
    </x:row>
    <x:row r="22" ht="15" hidden="0" customHeight="1">
      <x:c r="A22" t="str">
        <x:v>Tax</x:v>
      </x:c>
      <x:c r="B22" s="74" t="n">
        <x:f>MAX(0,B21*'Assumptions'!$C$33)</x:f>
        <x:v>0</x:v>
      </x:c>
      <x:c r="C22" s="74" t="n">
        <x:f>MAX(0,C21*'Assumptions'!$C$33)</x:f>
        <x:v>0</x:v>
      </x:c>
      <x:c r="D22" s="74" t="n">
        <x:f>MAX(0,D21*'Assumptions'!$C$33)</x:f>
        <x:v>0</x:v>
      </x:c>
      <x:c r="E22" s="74" t="n">
        <x:f>MAX(0,E21*'Assumptions'!$C$33)</x:f>
        <x:v>0</x:v>
      </x:c>
      <x:c r="F22" s="74" t="n">
        <x:f>MAX(0,F21*'Assumptions'!$C$33)</x:f>
        <x:v>0</x:v>
      </x:c>
      <x:c r="G22" s="74" t="n">
        <x:f>MAX(0,G21*'Assumptions'!$C$33)</x:f>
        <x:v>0</x:v>
      </x:c>
      <x:c r="H22" s="74" t="n">
        <x:f>MAX(0,H21*'Assumptions'!$C$33)</x:f>
        <x:v>0</x:v>
      </x:c>
      <x:c r="I22" s="74" t="n">
        <x:f>MAX(0,I21*'Assumptions'!$C$33)</x:f>
        <x:v>0</x:v>
      </x:c>
      <x:c r="J22" s="74" t="n">
        <x:f>MAX(0,J21*'Assumptions'!$C$33)</x:f>
        <x:v>0</x:v>
      </x:c>
      <x:c r="K22" s="74" t="n">
        <x:f>MAX(0,K21*'Assumptions'!$C$33)</x:f>
        <x:v>0</x:v>
      </x:c>
      <x:c r="L22" s="74" t="n">
        <x:f>MAX(0,L21*'Assumptions'!$C$33)</x:f>
        <x:v>0</x:v>
      </x:c>
      <x:c r="M22" s="74" t="n">
        <x:f>MAX(0,M21*'Assumptions'!$C$33)</x:f>
        <x:v>0</x:v>
      </x:c>
      <x:c r="N22" s="74" t="n">
        <x:f>MAX(0,N21*'Assumptions'!$C$33)</x:f>
        <x:v>0</x:v>
      </x:c>
      <x:c r="O22" s="74" t="n">
        <x:f>MAX(0,O21*'Assumptions'!$C$33)</x:f>
        <x:v>0</x:v>
      </x:c>
      <x:c r="P22" s="74" t="n">
        <x:f>MAX(0,P21*'Assumptions'!$C$33)</x:f>
        <x:v>0</x:v>
      </x:c>
      <x:c r="Q22" s="74" t="n">
        <x:f>MAX(0,Q21*'Assumptions'!$C$33)</x:f>
        <x:v>0</x:v>
      </x:c>
      <x:c r="R22" s="74" t="n">
        <x:f>MAX(0,R21*'Assumptions'!$C$33)</x:f>
        <x:v>0</x:v>
      </x:c>
      <x:c r="S22" s="74" t="n">
        <x:f>MAX(0,S21*'Assumptions'!$C$33)</x:f>
        <x:v>0</x:v>
      </x:c>
      <x:c r="T22" s="74" t="n">
        <x:f>MAX(0,T21*'Assumptions'!$C$33)</x:f>
        <x:v>0</x:v>
      </x:c>
      <x:c r="U22" s="74" t="n">
        <x:f>MAX(0,U21*'Assumptions'!$C$33)</x:f>
        <x:v>0</x:v>
      </x:c>
      <x:c r="V22" s="74" t="n">
        <x:f>MAX(0,V21*'Assumptions'!$C$33)</x:f>
        <x:v>0</x:v>
      </x:c>
      <x:c r="W22" s="74" t="n">
        <x:f>MAX(0,W21*'Assumptions'!$C$33)</x:f>
        <x:v>0</x:v>
      </x:c>
      <x:c r="X22" s="74" t="n">
        <x:f>MAX(0,X21*'Assumptions'!$C$33)</x:f>
        <x:v>0</x:v>
      </x:c>
      <x:c r="Y22" s="74" t="n">
        <x:f>MAX(0,Y21*'Assumptions'!$C$33)</x:f>
        <x:v>0</x:v>
      </x:c>
      <x:c r="Z22" s="74" t="n">
        <x:f>SUM(B22:M22)</x:f>
        <x:v>0</x:v>
      </x:c>
      <x:c r="AA22" s="74" t="n">
        <x:f>SUM(N22:Y22)</x:f>
        <x:v>0</x:v>
      </x:c>
    </x:row>
    <x:row r="23" ht="15" hidden="0" customHeight="1">
      <x:c r="A23" s="73" t="str">
        <x:v>Net Profit / Loss</x:v>
      </x:c>
      <x:c r="B23" s="75" t="n">
        <x:f>B21-B22</x:f>
        <x:v>-19.805883008499997</x:v>
      </x:c>
      <x:c r="C23" s="75" t="n">
        <x:f>C21-C22</x:f>
        <x:v>-23.967621808831222</x:v>
      </x:c>
      <x:c r="D23" s="75" t="n">
        <x:f>D21-D22</x:f>
        <x:v>-19.734692635840393</x:v>
      </x:c>
      <x:c r="E23" s="75" t="n">
        <x:f>E21-E22</x:f>
        <x:v>-15.99406858212279</x:v>
      </x:c>
      <x:c r="F23" s="75" t="n">
        <x:f>F21-F22</x:f>
        <x:v>-16.49887085176649</x:v>
      </x:c>
      <x:c r="G23" s="75" t="n">
        <x:f>G21-G22</x:f>
        <x:v>-14.244127217286659</x:v>
      </x:c>
      <x:c r="H23" s="75" t="n">
        <x:f>H21-H22</x:f>
        <x:v>-13.129336807970192</x:v>
      </x:c>
      <x:c r="I23" s="75" t="n">
        <x:f>I21-I22</x:f>
        <x:v>-18.547565787284803</x:v>
      </x:c>
      <x:c r="J23" s="75" t="n">
        <x:f>J21-J22</x:f>
        <x:v>-13.971484412583592</x:v>
      </x:c>
      <x:c r="K23" s="75" t="n">
        <x:f>K21-K22</x:f>
        <x:v>-14.399559097808998</x:v>
      </x:c>
      <x:c r="L23" s="75" t="n">
        <x:f>L21-L22</x:f>
        <x:v>-14.513003359143276</x:v>
      </x:c>
      <x:c r="M23" s="75" t="n">
        <x:f>M21-M22</x:f>
        <x:v>-25.94180890519373</x:v>
      </x:c>
      <x:c r="N23" s="75" t="n">
        <x:f>N21-N22</x:f>
        <x:v>-18.353797875349507</x:v>
      </x:c>
      <x:c r="O23" s="75" t="n">
        <x:f>O21-O22</x:f>
        <x:v>-19.427328707413626</x:v>
      </x:c>
      <x:c r="P23" s="75" t="n">
        <x:f>P21-P22</x:f>
        <x:v>-20.027537219006724</x:v>
      </x:c>
      <x:c r="Q23" s="75" t="n">
        <x:f>Q21-Q22</x:f>
        <x:v>-20.617702390972486</x:v>
      </x:c>
      <x:c r="R23" s="75" t="n">
        <x:f>R21-R22</x:f>
        <x:v>-21.664522561775264</x:v>
      </x:c>
      <x:c r="S23" s="75" t="n">
        <x:f>S21-S22</x:f>
        <x:v>-32.22460860356925</x:v>
      </x:c>
      <x:c r="T23" s="75" t="n">
        <x:f>T21-T22</x:f>
        <x:v>-20.53007935970625</x:v>
      </x:c>
      <x:c r="U23" s="75" t="n">
        <x:f>U21-U22</x:f>
        <x:v>-27.137117691379412</x:v>
      </x:c>
      <x:c r="V23" s="75" t="n">
        <x:f>V21-V22</x:f>
        <x:v>-23.420824287530962</x:v>
      </x:c>
      <x:c r="W23" s="75" t="n">
        <x:f>W21-W22</x:f>
        <x:v>-23.379173548330044</x:v>
      </x:c>
      <x:c r="X23" s="75" t="n">
        <x:f>X21-X22</x:f>
        <x:v>-23.512466664071972</x:v>
      </x:c>
      <x:c r="Y23" s="75" t="n">
        <x:f>Y21-Y22</x:f>
        <x:v>-34.394170986471416</x:v>
      </x:c>
      <x:c r="Z23" s="75" t="n">
        <x:f>SUM(B23:M23)</x:f>
        <x:v>-210.74802247433217</x:v>
      </x:c>
      <x:c r="AA23" s="75" t="n">
        <x:f>SUM(N23:Y23)</x:f>
        <x:v>-284.6893298955769</x:v>
      </x:c>
    </x:row>
    <x:row r="24" ht="15" hidden="0" customHeight="1">
      <x:c r="A24" t="str">
        <x:v>Revenue Growth</x:v>
      </x:c>
      <x:c r="B24" s="76" t="n">
        <x:f>0</x:f>
        <x:v>0</x:v>
      </x:c>
      <x:c r="C24" s="76" t="n">
        <x:f>IF(B9&lt;&gt;0,C9/B9-1,0)</x:f>
        <x:v>3.2960248265353043</x:v>
      </x:c>
      <x:c r="D24" s="76" t="n">
        <x:f>IF(C9&lt;&gt;0,D9/C9-1,0)</x:f>
        <x:v>1.3060939853673155</x:v>
      </x:c>
      <x:c r="E24" s="76" t="n">
        <x:f>IF(D9&lt;&gt;0,E9/D9-1,0)</x:f>
        <x:v>0.7120393614161835</x:v>
      </x:c>
      <x:c r="F24" s="76" t="n">
        <x:f>IF(E9&lt;&gt;0,F9/E9-1,0)</x:f>
        <x:v>0.48162695669567324</x:v>
      </x:c>
      <x:c r="G24" s="76" t="n">
        <x:f>IF(F9&lt;&gt;0,G9/F9-1,0)</x:f>
        <x:v>0.37050267523611113</x:v>
      </x:c>
      <x:c r="H24" s="76" t="n">
        <x:f>IF(G9&lt;&gt;0,H9/G9-1,0)</x:f>
        <x:v>0.2895509282781654</x:v>
      </x:c>
      <x:c r="I24" s="76" t="n">
        <x:f>IF(H9&lt;&gt;0,I9/H9-1,0)</x:f>
        <x:v>0.23391827466818604</x:v>
      </x:c>
      <x:c r="J24" s="76" t="n">
        <x:f>IF(I9&lt;&gt;0,J9/I9-1,0)</x:f>
        <x:v>0.19940625156912128</x:v>
      </x:c>
      <x:c r="K24" s="76" t="n">
        <x:f>IF(J9&lt;&gt;0,K9/J9-1,0)</x:f>
        <x:v>0.17634015636753264</x:v>
      </x:c>
      <x:c r="L24" s="76" t="n">
        <x:f>IF(K9&lt;&gt;0,L9/K9-1,0)</x:f>
        <x:v>0.15723298061283209</x:v>
      </x:c>
      <x:c r="M24" s="76" t="n">
        <x:f>IF(L9&lt;&gt;0,M9/L9-1,0)</x:f>
        <x:v>0.14338729490225188</x:v>
      </x:c>
      <x:c r="N24" s="76" t="n">
        <x:f>IF(M9&lt;&gt;0,N9/M9-1,0)</x:f>
        <x:v>0.14519306633297813</x:v>
      </x:c>
      <x:c r="O24" s="76" t="n">
        <x:f>IF(N9&lt;&gt;0,O9/N9-1,0)</x:f>
        <x:v>0.15307465103396956</x:v>
      </x:c>
      <x:c r="P24" s="76" t="n">
        <x:f>IF(O9&lt;&gt;0,P9/O9-1,0)</x:f>
        <x:v>0.15313190115865472</x:v>
      </x:c>
      <x:c r="Q24" s="76" t="n">
        <x:f>IF(P9&lt;&gt;0,Q9/P9-1,0)</x:f>
        <x:v>0.14929029001117367</x:v>
      </x:c>
      <x:c r="R24" s="76" t="n">
        <x:f>IF(Q9&lt;&gt;0,R9/Q9-1,0)</x:f>
        <x:v>0.14961531653372173</x:v>
      </x:c>
      <x:c r="S24" s="76" t="n">
        <x:f>IF(R9&lt;&gt;0,S9/R9-1,0)</x:f>
        <x:v>0.1486667728094857</x:v>
      </x:c>
      <x:c r="T24" s="76" t="n">
        <x:f>IF(S9&lt;&gt;0,T9/S9-1,0)</x:f>
        <x:v>0.12569318585627265</x:v>
      </x:c>
      <x:c r="U24" s="76" t="n">
        <x:f>IF(T9&lt;&gt;0,U9/T9-1,0)</x:f>
        <x:v>0.11170255687491104</x:v>
      </x:c>
      <x:c r="V24" s="76" t="n">
        <x:f>IF(U9&lt;&gt;0,V9/U9-1,0)</x:f>
        <x:v>0.11560744968862724</x:v>
      </x:c>
      <x:c r="W24" s="76" t="n">
        <x:f>IF(V9&lt;&gt;0,W9/V9-1,0)</x:f>
        <x:v>0.11478244142177463</x:v>
      </x:c>
      <x:c r="X24" s="76" t="n">
        <x:f>IF(W9&lt;&gt;0,X9/W9-1,0)</x:f>
        <x:v>0.11172284218600259</x:v>
      </x:c>
      <x:c r="Y24" s="76" t="n">
        <x:f>IF(X9&lt;&gt;0,Y9/X9-1,0)</x:f>
        <x:v>0.10842645683300689</x:v>
      </x:c>
      <x:c r="Z24" s="76" t="n">
        <x:f>IF(B9&lt;&gt;0,M9/B9-1,0)</x:f>
        <x:v>101.30917424256046</x:v>
      </x:c>
      <x:c r="AA24" s="76" t="n">
        <x:f>IF(N9&lt;&gt;0,Y9/N9-1,0)</x:f>
        <x:v>2.8701369073101697</x:v>
      </x:c>
    </x:row>
    <x:row r="25" ht="15" hidden="0" customHeight="1">
      <x:c r="A25" t="str">
        <x:v>EBITDA Margin</x:v>
      </x:c>
      <x:c r="B25" s="76" t="n">
        <x:f>IF(B9&gt;0,B17/B9,0)</x:f>
        <x:v>-1694.2875847747607</x:v>
      </x:c>
      <x:c r="C25" s="76" t="n">
        <x:f>IF(C9&gt;0,C17/C9,0)</x:f>
        <x:v>-476.0650489717627</x:v>
      </x:c>
      <x:c r="D25" s="76" t="n">
        <x:f>IF(D9&gt;0,D17/D9,0)</x:f>
        <x:v>-169.37131759287792</x:v>
      </x:c>
      <x:c r="E25" s="76" t="n">
        <x:f>IF(E9&gt;0,E17/E9,0)</x:f>
        <x:v>-79.76202473695906</x:v>
      </x:c>
      <x:c r="F25" s="76" t="n">
        <x:f>IF(F9&gt;0,F17/F9,0)</x:f>
        <x:v>-55.3158258328492</x:v>
      </x:c>
      <x:c r="G25" s="76" t="n">
        <x:f>IF(G9&gt;0,G17/G9,0)</x:f>
        <x:v>-34.58871491310345</x:v>
      </x:c>
      <x:c r="H25" s="76" t="n">
        <x:f>IF(H9&gt;0,H17/H9,0)</x:f>
        <x:v>-24.54120977810556</x:v>
      </x:c>
      <x:c r="I25" s="76" t="n">
        <x:f>IF(I9&gt;0,I17/I9,0)</x:f>
        <x:v>-28.232663332754594</x:v>
      </x:c>
      <x:c r="J25" s="76" t="n">
        <x:f>IF(J9&gt;0,J17/J9,0)</x:f>
        <x:v>-17.48845645944478</x:v>
      </x:c>
      <x:c r="K25" s="76" t="n">
        <x:f>IF(K9&gt;0,K17/K9,0)</x:f>
        <x:v>-15.259765274581031</x:v>
      </x:c>
      <x:c r="L25" s="76" t="n">
        <x:f>IF(L9&gt;0,L17/L9,0)</x:f>
        <x:v>-13.225170066545331</x:v>
      </x:c>
      <x:c r="M25" s="76" t="n">
        <x:f>IF(M9&gt;0,M17/M9,0)</x:f>
        <x:v>-21.06175672062547</x:v>
      </x:c>
      <x:c r="N25" s="76" t="n">
        <x:f>IF(N9&gt;0,N17/N9,0)</x:f>
        <x:v>-12.797980365012593</x:v>
      </x:c>
      <x:c r="O25" s="76" t="n">
        <x:f>IF(O9&gt;0,O17/O9,0)</x:f>
        <x:v>-11.723565968611824</x:v>
      </x:c>
      <x:c r="P25" s="76" t="n">
        <x:f>IF(P9&gt;0,P17/P9,0)</x:f>
        <x:v>-10.448431060889035</x:v>
      </x:c>
      <x:c r="Q25" s="76" t="n">
        <x:f>IF(Q9&gt;0,Q17/Q9,0)</x:f>
        <x:v>-9.331524017151596</x:v>
      </x:c>
      <x:c r="R25" s="76" t="n">
        <x:f>IF(R9&gt;0,R17/R9,0)</x:f>
        <x:v>-8.51591704238353</x:v>
      </x:c>
      <x:c r="S25" s="76" t="n">
        <x:f>IF(S9&gt;0,S17/S9,0)</x:f>
        <x:v>-11.202998914690438</x:v>
      </x:c>
      <x:c r="T25" s="76" t="n">
        <x:f>IF(T9&gt;0,T17/T9,0)</x:f>
        <x:v>-6.165266232713241</x:v>
      </x:c>
      <x:c r="U25" s="76" t="n">
        <x:f>IF(U9&gt;0,U17/U9,0)</x:f>
        <x:v>-7.430810649090454</x:v>
      </x:c>
      <x:c r="V25" s="76" t="n">
        <x:f>IF(V9&gt;0,V17/V9,0)</x:f>
        <x:v>-5.67507086439229</x:v>
      </x:c>
      <x:c r="W25" s="76" t="n">
        <x:f>IF(W9&gt;0,W17/W9,0)</x:f>
        <x:v>-5.060793948412812</x:v>
      </x:c>
      <x:c r="X25" s="76" t="n">
        <x:f>IF(X9&gt;0,X17/X9,0)</x:f>
        <x:v>-4.561851984105804</x:v>
      </x:c>
      <x:c r="Y25" s="76" t="n">
        <x:f>IF(Y9&gt;0,Y17/Y9,0)</x:f>
        <x:v>-6.1520759909873375</x:v>
      </x:c>
      <x:c r="Z25" s="76" t="n">
        <x:f>IF(Z9&gt;0,Z17/Z9,0)</x:f>
        <x:v>-33.58073631798528</x:v>
      </x:c>
      <x:c r="AA25" s="76" t="n">
        <x:f>IF(AA9&gt;0,AA17/AA9,0)</x:f>
        <x:v>-7.3015159636488995</x:v>
      </x:c>
    </x:row>
    <x:row r="26" ht="15" hidden="0" customHeight="1">
      <x:c r="A26" t="str">
        <x:v>Net Margin</x:v>
      </x:c>
      <x:c r="B26" s="76" t="n">
        <x:f>IF(B9&gt;0,B23/B9,0)</x:f>
        <x:v>-1694.2875847747607</x:v>
      </x:c>
      <x:c r="C26" s="76" t="n">
        <x:f>IF(C9&gt;0,C23/C9,0)</x:f>
        <x:v>-477.25565148777974</x:v>
      </x:c>
      <x:c r="D26" s="76" t="n">
        <x:f>IF(D9&gt;0,D23/D9,0)</x:f>
        <x:v>-170.40388827175894</x:v>
      </x:c>
      <x:c r="E26" s="76" t="n">
        <x:f>IF(E9&gt;0,E23/E9,0)</x:f>
        <x:v>-80.66670955509333</x:v>
      </x:c>
      <x:c r="F26" s="76" t="n">
        <x:f>IF(F9&gt;0,F23/F9,0)</x:f>
        <x:v>-56.163057199687664</x:v>
      </x:c>
      <x:c r="G26" s="76" t="n">
        <x:f>IF(G9&gt;0,G23/G9,0)</x:f>
        <x:v>-35.37956374512904</x:v>
      </x:c>
      <x:c r="H26" s="76" t="n">
        <x:f>IF(H9&gt;0,H23/H9,0)</x:f>
        <x:v>-25.288374865475184</x:v>
      </x:c>
      <x:c r="I26" s="76" t="n">
        <x:f>IF(I9&gt;0,I23/I9,0)</x:f>
        <x:v>-28.952005667564695</x:v>
      </x:c>
      <x:c r="J26" s="76" t="n">
        <x:f>IF(J9&gt;0,J23/J9,0)</x:f>
        <x:v>-18.183102100490306</x:v>
      </x:c>
      <x:c r="K26" s="76" t="n">
        <x:f>IF(K9&gt;0,K23/K9,0)</x:f>
        <x:v>-15.930950885536971</x:v>
      </x:c>
      <x:c r="L26" s="76" t="n">
        <x:f>IF(L9&gt;0,L23/L9,0)</x:f>
        <x:v>-13.874872391852762</x:v>
      </x:c>
      <x:c r="M26" s="76" t="n">
        <x:f>IF(M9&gt;0,M23/M9,0)</x:f>
        <x:v>-21.690951113846907</x:v>
      </x:c>
      <x:c r="N26" s="76" t="n">
        <x:f>IF(N9&gt;0,N23/N9,0)</x:f>
        <x:v>-13.400641053822884</x:v>
      </x:c>
      <x:c r="O26" s="76" t="n">
        <x:f>IF(O9&gt;0,O23/O9,0)</x:f>
        <x:v>-12.301421326386075</x:v>
      </x:c>
      <x:c r="P26" s="76" t="n">
        <x:f>IF(P9&gt;0,P23/P9,0)</x:f>
        <x:v>-10.997418838017095</x:v>
      </x:c>
      <x:c r="Q26" s="76" t="n">
        <x:f>IF(Q9&gt;0,Q23/Q9,0)</x:f>
        <x:v>-9.850850927884517</x:v>
      </x:c>
      <x:c r="R26" s="76" t="n">
        <x:f>IF(R9&gt;0,R23/R9,0)</x:f>
        <x:v>-9.003887536005214</x:v>
      </x:c>
      <x:c r="S26" s="76" t="n">
        <x:f>IF(S9&gt;0,S23/S9,0)</x:f>
        <x:v>-11.659355162958859</x:v>
      </x:c>
      <x:c r="T26" s="76" t="n">
        <x:f>IF(T9&gt;0,T23/T9,0)</x:f>
        <x:v>-6.598686133237223</x:v>
      </x:c>
      <x:c r="U26" s="76" t="n">
        <x:f>IF(U9&gt;0,U23/U9,0)</x:f>
        <x:v>-7.845885340818179</x:v>
      </x:c>
      <x:c r="V26" s="76" t="n">
        <x:f>IF(V9&gt;0,V23/V9,0)</x:f>
        <x:v>-6.069724917279828</x:v>
      </x:c>
      <x:c r="W26" s="76" t="n">
        <x:f>IF(W9&gt;0,W23/W9,0)</x:f>
        <x:v>-5.435079092442529</x:v>
      </x:c>
      <x:c r="X26" s="76" t="n">
        <x:f>IF(X9&gt;0,X23/X9,0)</x:f>
        <x:v>-4.916752840481911</x:v>
      </x:c>
      <x:c r="Y26" s="76" t="n">
        <x:f>IF(Y9&gt;0,Y23/Y9,0)</x:f>
        <x:v>-6.488706750634746</x:v>
      </x:c>
      <x:c r="Z26" s="76" t="n">
        <x:f>IF(Z9&gt;0,Z23/Z9,0)</x:f>
        <x:v>-34.288026716543726</x:v>
      </x:c>
      <x:c r="AA26" s="76" t="n">
        <x:f>IF(AA9&gt;0,AA23/AA9,0)</x:f>
        <x:v>-7.726491964578905</x:v>
      </x:c>
    </x:row>
  </x:sheetData>
  <x:mergeCells>
    <x:mergeCell ref="A1:H1"/>
    <x:mergeCell ref="A2:H2"/>
    <x:mergeCell ref="A5:AA5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1.25" hidden="0" customWidth="1"/>
    <x:col min="3" max="3" width="11.25" hidden="0" customWidth="1"/>
    <x:col min="4" max="4" width="11.25" hidden="0" customWidth="1"/>
    <x:col min="5" max="5" width="11.25" hidden="0" customWidth="1"/>
    <x:col min="6" max="6" width="11.25" hidden="0" customWidth="1"/>
    <x:col min="7" max="7" width="11.25" hidden="0" customWidth="1"/>
    <x:col min="8" max="8" width="11.25" hidden="0" customWidth="1"/>
    <x:col min="9" max="9" width="11.25" hidden="0" customWidth="1"/>
    <x:col min="10" max="10" width="11.25" hidden="0" customWidth="1"/>
    <x:col min="11" max="11" width="11.25" hidden="0" customWidth="1"/>
    <x:col min="12" max="12" width="11.25" hidden="0" customWidth="1"/>
    <x:col min="13" max="13" width="11.25" hidden="0" customWidth="1"/>
    <x:col min="14" max="14" width="11.25" hidden="0" customWidth="1"/>
    <x:col min="15" max="15" width="11.25" hidden="0" customWidth="1"/>
    <x:col min="16" max="16" width="11.25" hidden="0" customWidth="1"/>
    <x:col min="17" max="17" width="11.25" hidden="0" customWidth="1"/>
    <x:col min="18" max="18" width="11.25" hidden="0" customWidth="1"/>
    <x:col min="19" max="19" width="11.25" hidden="0" customWidth="1"/>
    <x:col min="20" max="20" width="11.25" hidden="0" customWidth="1"/>
    <x:col min="21" max="21" width="11.25" hidden="0" customWidth="1"/>
    <x:col min="22" max="22" width="11.25" hidden="0" customWidth="1"/>
    <x:col min="23" max="23" width="11.25" hidden="0" customWidth="1"/>
    <x:col min="24" max="24" width="11.25" hidden="0" customWidth="1"/>
    <x:col min="25" max="25" width="11.25" hidden="0" customWidth="1"/>
  </x:cols>
  <x:sheetData>
    <x:row r="1" ht="19.200000762939453" hidden="0" customHeight="1">
      <x:c r="A1" s="2" t="str">
        <x:v>Balance Sheet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15" hidden="0" customHeight="1">
      <x:c r="A2" s="4" t="str">
        <x:v>Monthly balance sheet tied to cash flow, retained earnings, technology assets and regulatory deposits.</x:v>
      </x:c>
    </x:row>
    <x:row r="3"/>
    <x:row r="4" ht="15" hidden="0" customHeight="1">
      <x:c r="A4" s="10" t="str">
        <x:v>Metric</x:v>
      </x:c>
      <x:c r="B4" s="11" t="str">
        <x:v>M1</x:v>
      </x:c>
      <x:c r="C4" s="11" t="str">
        <x:v>M2</x:v>
      </x:c>
      <x:c r="D4" s="11" t="str">
        <x:v>M3</x:v>
      </x:c>
      <x:c r="E4" s="11" t="str">
        <x:v>M4</x:v>
      </x:c>
      <x:c r="F4" s="11" t="str">
        <x:v>M5</x:v>
      </x:c>
      <x:c r="G4" s="11" t="str">
        <x:v>M6</x:v>
      </x:c>
      <x:c r="H4" s="11" t="str">
        <x:v>M7</x:v>
      </x:c>
      <x:c r="I4" s="11" t="str">
        <x:v>M8</x:v>
      </x:c>
      <x:c r="J4" s="11" t="str">
        <x:v>M9</x:v>
      </x:c>
      <x:c r="K4" s="11" t="str">
        <x:v>M10</x:v>
      </x:c>
      <x:c r="L4" s="11" t="str">
        <x:v>M11</x:v>
      </x:c>
      <x:c r="M4" s="11" t="str">
        <x:v>M12</x:v>
      </x:c>
      <x:c r="N4" s="11" t="str">
        <x:v>M13</x:v>
      </x:c>
      <x:c r="O4" s="11" t="str">
        <x:v>M14</x:v>
      </x:c>
      <x:c r="P4" s="11" t="str">
        <x:v>M15</x:v>
      </x:c>
      <x:c r="Q4" s="11" t="str">
        <x:v>M16</x:v>
      </x:c>
      <x:c r="R4" s="11" t="str">
        <x:v>M17</x:v>
      </x:c>
      <x:c r="S4" s="11" t="str">
        <x:v>M18</x:v>
      </x:c>
      <x:c r="T4" s="11" t="str">
        <x:v>M19</x:v>
      </x:c>
      <x:c r="U4" s="11" t="str">
        <x:v>M20</x:v>
      </x:c>
      <x:c r="V4" s="11" t="str">
        <x:v>M21</x:v>
      </x:c>
      <x:c r="W4" s="11" t="str">
        <x:v>M22</x:v>
      </x:c>
      <x:c r="X4" s="11" t="str">
        <x:v>M23</x:v>
      </x:c>
      <x:c r="Y4" s="12" t="str">
        <x:v>M24</x:v>
      </x:c>
    </x:row>
    <x:row r="5" ht="15" hidden="0" customHeight="1">
      <x:c r="A5" s="45" t="str">
        <x:v>Balance Sheet</x:v>
      </x:c>
      <x:c r="B5" s="46" t="str">
        <x:v>Balance Sheet</x:v>
      </x:c>
      <x:c r="C5" s="46" t="str">
        <x:v>Balance Sheet</x:v>
      </x:c>
      <x:c r="D5" s="46" t="str">
        <x:v>Balance Sheet</x:v>
      </x:c>
      <x:c r="E5" s="46" t="str">
        <x:v>Balance Sheet</x:v>
      </x:c>
      <x:c r="F5" s="46" t="str">
        <x:v>Balance Sheet</x:v>
      </x:c>
      <x:c r="G5" s="46" t="str">
        <x:v>Balance Sheet</x:v>
      </x:c>
      <x:c r="H5" s="46" t="str">
        <x:v>Balance Sheet</x:v>
      </x:c>
      <x:c r="I5" s="46" t="str">
        <x:v>Balance Sheet</x:v>
      </x:c>
      <x:c r="J5" s="46" t="str">
        <x:v>Balance Sheet</x:v>
      </x:c>
      <x:c r="K5" s="46" t="str">
        <x:v>Balance Sheet</x:v>
      </x:c>
      <x:c r="L5" s="46" t="str">
        <x:v>Balance Sheet</x:v>
      </x:c>
      <x:c r="M5" s="46" t="str">
        <x:v>Balance Sheet</x:v>
      </x:c>
      <x:c r="N5" s="46" t="str">
        <x:v>Balance Sheet</x:v>
      </x:c>
      <x:c r="O5" s="46" t="str">
        <x:v>Balance Sheet</x:v>
      </x:c>
      <x:c r="P5" s="46" t="str">
        <x:v>Balance Sheet</x:v>
      </x:c>
      <x:c r="Q5" s="46" t="str">
        <x:v>Balance Sheet</x:v>
      </x:c>
      <x:c r="R5" s="46" t="str">
        <x:v>Balance Sheet</x:v>
      </x:c>
      <x:c r="S5" s="46" t="str">
        <x:v>Balance Sheet</x:v>
      </x:c>
      <x:c r="T5" s="46" t="str">
        <x:v>Balance Sheet</x:v>
      </x:c>
      <x:c r="U5" s="46" t="str">
        <x:v>Balance Sheet</x:v>
      </x:c>
      <x:c r="V5" s="46" t="str">
        <x:v>Balance Sheet</x:v>
      </x:c>
      <x:c r="W5" s="46" t="str">
        <x:v>Balance Sheet</x:v>
      </x:c>
      <x:c r="X5" s="46" t="str">
        <x:v>Balance Sheet</x:v>
      </x:c>
      <x:c r="Y5" s="47" t="str">
        <x:v>Balance Sheet</x:v>
      </x:c>
    </x:row>
    <x:row r="6" ht="15" hidden="0" customHeight="1">
      <x:c r="A6" t="str">
        <x:v>Cash</x:v>
      </x:c>
      <x:c r="B6" s="74" t="n">
        <x:f>'Cash Flow &amp; Runway'!B23</x:f>
        <x:v>998.912623659575</x:v>
      </x:c>
      <x:c r="C6" s="74" t="n">
        <x:f>'Cash Flow &amp; Runway'!C23</x:f>
        <x:v>971.784595569491</x:v>
      </x:c>
      <x:c r="D6" s="74" t="n">
        <x:f>'Cash Flow &amp; Runway'!D23</x:f>
        <x:v>945.7493742021904</x:v>
      </x:c>
      <x:c r="E6" s="74" t="n">
        <x:f>'Cash Flow &amp; Runway'!E23</x:f>
        <x:v>919.4803098762436</x:v>
      </x:c>
      <x:c r="F6" s="74" t="n">
        <x:f>'Cash Flow &amp; Runway'!F23</x:f>
        <x:v>901.2288952250873</x:v>
      </x:c>
      <x:c r="G6" s="74" t="n">
        <x:f>'Cash Flow &amp; Runway'!G23</x:f>
        <x:v>882.6917939660482</x:v>
      </x:c>
      <x:c r="H6" s="74" t="n">
        <x:f>'Cash Flow &amp; Runway'!H23</x:f>
        <x:v>863.4218989624435</x:v>
      </x:c>
      <x:c r="I6" s="74" t="n">
        <x:f>'Cash Flow &amp; Runway'!I23</x:f>
        <x:v>847.8965568076588</x:v>
      </x:c>
      <x:c r="J6" s="74" t="n">
        <x:f>'Cash Flow &amp; Runway'!J23</x:f>
        <x:v>827.5298037924152</x:v>
      </x:c>
      <x:c r="K6" s="74" t="n">
        <x:f>'Cash Flow &amp; Runway'!K23</x:f>
        <x:v>811.5671003243735</x:v>
      </x:c>
      <x:c r="L6" s="74" t="n">
        <x:f>'Cash Flow &amp; Runway'!L23</x:f>
        <x:v>795.2691505794634</x:v>
      </x:c>
      <x:c r="M6" s="74" t="n">
        <x:f>'Cash Flow &amp; Runway'!M23</x:f>
        <x:v>778.3696566352296</x:v>
      </x:c>
      <x:c r="N6" s="74" t="n">
        <x:f>'Cash Flow &amp; Runway'!N23</x:f>
        <x:v>749.0571396545897</x:v>
      </x:c>
      <x:c r="O6" s="74" t="n">
        <x:f>'Cash Flow &amp; Runway'!O23</x:f>
        <x:v>728.5143576444028</x:v>
      </x:c>
      <x:c r="P6" s="74" t="n">
        <x:f>'Cash Flow &amp; Runway'!P23</x:f>
        <x:v>707.0341331553805</x:v>
      </x:c>
      <x:c r="Q6" s="74" t="n">
        <x:f>'Cash Flow &amp; Runway'!Q23</x:f>
        <x:v>685.0638166276003</x:v>
      </x:c>
      <x:c r="R6" s="74" t="n">
        <x:f>'Cash Flow &amp; Runway'!R23</x:f>
        <x:v>662.5986423264076</x:v>
      </x:c>
      <x:c r="S6" s="74" t="n">
        <x:f>'Cash Flow &amp; Runway'!S23</x:f>
        <x:v>638.7323792764244</x:v>
      </x:c>
      <x:c r="T6" s="74" t="n">
        <x:f>'Cash Flow &amp; Runway'!T23</x:f>
        <x:v>605.4965479606835</x:v>
      </x:c>
      <x:c r="U6" s="74" t="n">
        <x:f>'Cash Flow &amp; Runway'!U23</x:f>
        <x:v>583.119127022867</x:v>
      </x:c>
      <x:c r="V6" s="74" t="n">
        <x:f>'Cash Flow &amp; Runway'!V23</x:f>
        <x:v>554.7783756802064</x:v>
      </x:c>
      <x:c r="W6" s="74" t="n">
        <x:f>'Cash Flow &amp; Runway'!W23</x:f>
        <x:v>530.0899225410485</x:v>
      </x:c>
      <x:c r="X6" s="74" t="n">
        <x:f>'Cash Flow &amp; Runway'!X23</x:f>
        <x:v>505.54727653303826</x:v>
      </x:c>
      <x:c r="Y6" s="74" t="n">
        <x:f>'Cash Flow &amp; Runway'!Y23</x:f>
        <x:v>480.4473845759737</x:v>
      </x:c>
    </x:row>
    <x:row r="7" ht="15" hidden="0" customHeight="1">
      <x:c r="A7" t="str">
        <x:v>Partner Receivables</x:v>
      </x:c>
      <x:c r="B7" s="74" t="n">
        <x:f>'Cash Flow &amp; Runway'!B18</x:f>
        <x:v>0.0005625000000000001</x:v>
      </x:c>
      <x:c r="C7" s="74" t="n">
        <x:f>'Cash Flow &amp; Runway'!C18</x:f>
        <x:v>0.0017136023670584366</x:v>
      </x:c>
      <x:c r="D7" s="74" t="n">
        <x:f>'Cash Flow &amp; Runway'!D18</x:f>
        <x:v>0.0035528992356373803</x:v>
      </x:c>
      <x:c r="E7" s="74" t="n">
        <x:f>'Cash Flow &amp; Runway'!E18</x:f>
        <x:v>0.005867789923563739</x:v>
      </x:c>
      <x:c r="F7" s="74" t="n">
        <x:f>'Cash Flow &amp; Runway'!F18</x:f>
        <x:v>0.009043596408317582</x:v>
      </x:c>
      <x:c r="G7" s="74" t="n">
        <x:f>'Cash Flow &amp; Runway'!G18</x:f>
        <x:v>0.013275268143338542</x:v>
      </x:c>
      <x:c r="H7" s="74" t="n">
        <x:f>'Cash Flow &amp; Runway'!H18</x:f>
        <x:v>0.018783038649626046</x:v>
      </x:c>
      <x:c r="I7" s="74" t="n">
        <x:f>'Cash Flow &amp; Runway'!I18</x:f>
        <x:v>0.025813881811457218</x:v>
      </x:c>
      <x:c r="J7" s="74" t="n">
        <x:f>'Cash Flow &amp; Runway'!J18</x:f>
        <x:v>0.034642968172104875</x:v>
      </x:c>
      <x:c r="K7" s="74" t="n">
        <x:f>'Cash Flow &amp; Runway'!K18</x:f>
        <x:v>0.045575121229555364</x:v>
      </x:c>
      <x:c r="L7" s="74" t="n">
        <x:f>'Cash Flow &amp; Runway'!L18</x:f>
        <x:v>0.05861879443371414</x:v>
      </x:c>
      <x:c r="M7" s="74" t="n">
        <x:f>'Cash Flow &amp; Runway'!M18</x:f>
        <x:v>0.07438111284622341</x:v>
      </x:c>
      <x:c r="N7" s="74" t="n">
        <x:f>'Cash Flow &amp; Runway'!N18</x:f>
        <x:v>0.09493365250267118</x:v>
      </x:c>
      <x:c r="O7" s="74" t="n">
        <x:f>'Cash Flow &amp; Runway'!O18</x:f>
        <x:v>0.12085490260540808</x:v>
      </x:c>
      <x:c r="P7" s="74" t="n">
        <x:f>'Cash Flow &amp; Runway'!P18</x:f>
        <x:v>0.15210384646995975</x:v>
      </x:c>
      <x:c r="Q7" s="74" t="n">
        <x:f>'Cash Flow &amp; Runway'!Q18</x:f>
        <x:v>0.18944957466918713</x:v>
      </x:c>
      <x:c r="R7" s="74" t="n">
        <x:f>'Cash Flow &amp; Runway'!R18</x:f>
        <x:v>0.2350361428454015</x:v>
      </x:c>
      <x:c r="S7" s="74" t="n">
        <x:f>'Cash Flow &amp; Runway'!S18</x:f>
        <x:v>0.2887441439960549</x:v>
      </x:c>
      <x:c r="T7" s="74" t="n">
        <x:f>'Cash Flow &amp; Runway'!T18</x:f>
        <x:v>0.3420413079436181</x:v>
      </x:c>
      <x:c r="U7" s="74" t="n">
        <x:f>'Cash Flow &amp; Runway'!U18</x:f>
        <x:v>0.40368517300895873</x:v>
      </x:c>
      <x:c r="V7" s="74" t="n">
        <x:f>'Cash Flow &amp; Runway'!V18</x:f>
        <x:v>0.47467377332127886</x:v>
      </x:c>
      <x:c r="W7" s="74" t="n">
        <x:f>'Cash Flow &amp; Runway'!W18</x:f>
        <x:v>0.5539925515739295</x:v>
      </x:c>
      <x:c r="X7" s="74" t="n">
        <x:f>'Cash Flow &amp; Runway'!X18</x:f>
        <x:v>0.6433763651167094</x:v>
      </x:c>
      <x:c r="Y7" s="74" t="n">
        <x:f>'Cash Flow &amp; Runway'!Y18</x:f>
        <x:v>0.7424999999999999</x:v>
      </x:c>
    </x:row>
    <x:row r="8" ht="15" hidden="0" customHeight="1">
      <x:c r="A8" t="str">
        <x:v>Prepaids / Current Assets</x:v>
      </x:c>
      <x:c r="B8" s="74" t="n">
        <x:f>'Cash Flow &amp; Runway'!B19</x:f>
        <x:v>1.098503640425</x:v>
      </x:c>
      <x:c r="C8" s="74" t="n">
        <x:f>'Cash Flow &amp; Runway'!C19</x:f>
        <x:v>1.3055274906590897</x:v>
      </x:c>
      <x:c r="D8" s="74" t="n">
        <x:f>'Cash Flow &amp; Runway'!D19</x:f>
        <x:v>1.3441710291893512</x:v>
      </x:c>
      <x:c r="E8" s="74" t="n">
        <x:f>'Cash Flow &amp; Runway'!E19</x:f>
        <x:v>0.9257733527085066</x:v>
      </x:c>
      <x:c r="F8" s="74" t="n">
        <x:f>'Cash Flow &amp; Runway'!F19</x:f>
        <x:v>0.9523124641930292</x:v>
      </x:c>
      <x:c r="G8" s="74" t="n">
        <x:f>'Cash Flow &amp; Runway'!G19</x:f>
        <x:v>0.8415416669406505</x:v>
      </x:c>
      <x:c r="H8" s="74" t="n">
        <x:f>'Cash Flow &amp; Runway'!H19</x:f>
        <x:v>0.7942802410567108</x:v>
      </x:c>
      <x:c r="I8" s="74" t="n">
        <x:f>'Cash Flow &amp; Runway'!I19</x:f>
        <x:v>1.0676181959161153</x:v>
      </x:c>
      <x:c r="J8" s="74" t="n">
        <x:f>'Cash Flow &amp; Runway'!J19</x:f>
        <x:v>0.8415555897950929</x:v>
      </x:c>
      <x:c r="K8" s="74" t="n">
        <x:f>'Cash Flow &amp; Runway'!K19</x:f>
        <x:v>0.8660882801192109</x:v>
      </x:c>
      <x:c r="L8" s="74" t="n">
        <x:f>'Cash Flow &amp; Runway'!L19</x:f>
        <x:v>0.8752205934931081</x:v>
      </x:c>
      <x:c r="M8" s="74" t="n">
        <x:f>'Cash Flow &amp; Runway'!M19</x:f>
        <x:v>1.4505141345127208</x:v>
      </x:c>
      <x:c r="N8" s="74" t="n">
        <x:f>'Cash Flow &amp; Runway'!N19</x:f>
        <x:v>1.101816771409184</x:v>
      </x:c>
      <x:c r="O8" s="74" t="n">
        <x:f>'Cash Flow &amp; Runway'!O19</x:f>
        <x:v>1.1616172286760396</x:v>
      </x:c>
      <x:c r="P8" s="74" t="n">
        <x:f>'Cash Flow &amp; Runway'!P19</x:f>
        <x:v>1.1993607280793952</x:v>
      </x:c>
      <x:c r="Q8" s="74" t="n">
        <x:f>'Cash Flow &amp; Runway'!Q19</x:f>
        <x:v>1.238103911252048</x:v>
      </x:c>
      <x:c r="R8" s="74" t="n">
        <x:f>'Cash Flow &amp; Runway'!R19</x:f>
        <x:v>1.3017432687110901</x:v>
      </x:c>
      <x:c r="S8" s="74" t="n">
        <x:f>'Cash Flow &amp; Runway'!S19</x:f>
        <x:v>1.843274352488658</x:v>
      </x:c>
      <x:c r="T8" s="74" t="n">
        <x:f>'Cash Flow &amp; Runway'!T19</x:f>
        <x:v>1.2715588955951955</x:v>
      </x:c>
      <x:c r="U8" s="74" t="n">
        <x:f>'Cash Flow &amp; Runway'!U19</x:f>
        <x:v>1.6149286747432736</x:v>
      </x:c>
      <x:c r="V8" s="74" t="n">
        <x:f>'Cash Flow &amp; Runway'!V19</x:f>
        <x:v>1.444748190766541</x:v>
      </x:c>
      <x:c r="W8" s="74" t="n">
        <x:f>'Cash Flow &amp; Runway'!W19</x:f>
        <x:v>1.4604520076485508</x:v>
      </x:c>
      <x:c r="X8" s="74" t="n">
        <x:f>'Cash Flow &amp; Runway'!X19</x:f>
        <x:v>1.4867868432807578</x:v>
      </x:c>
      <x:c r="Y8" s="74" t="n">
        <x:f>'Cash Flow &amp; Runway'!Y19</x:f>
        <x:v>2.052438640426631</x:v>
      </x:c>
    </x:row>
    <x:row r="9" ht="15" hidden="0" customHeight="1">
      <x:c r="A9" t="str">
        <x:v>Capitalised Technology / Software</x:v>
      </x:c>
      <x:c r="B9" s="74" t="n">
        <x:f>SUM('Technology &amp; Product Investment'!$B$14:B14)</x:f>
        <x:v>2.1525</x:v>
      </x:c>
      <x:c r="C9" s="74" t="n">
        <x:f>SUM('Technology &amp; Product Investment'!$B$14:C14)</x:f>
        <x:v>4.305</x:v>
      </x:c>
      <x:c r="D9" s="74" t="n">
        <x:f>SUM('Technology &amp; Product Investment'!$B$14:D14)</x:f>
        <x:v>6.4575</x:v>
      </x:c>
      <x:c r="E9" s="74" t="n">
        <x:f>SUM('Technology &amp; Product Investment'!$B$14:E14)</x:f>
        <x:v>8.959999999999999</x:v>
      </x:c>
      <x:c r="F9" s="74" t="n">
        <x:f>SUM('Technology &amp; Product Investment'!$B$14:F14)</x:f>
        <x:v>11.462499999999999</x:v>
      </x:c>
      <x:c r="G9" s="74" t="n">
        <x:f>SUM('Technology &amp; Product Investment'!$B$14:G14)</x:f>
        <x:v>13.964999999999998</x:v>
      </x:c>
      <x:c r="H9" s="74" t="n">
        <x:f>SUM('Technology &amp; Product Investment'!$B$14:H14)</x:f>
        <x:v>16.589999999999996</x:v>
      </x:c>
      <x:c r="I9" s="74" t="n">
        <x:f>SUM('Technology &amp; Product Investment'!$B$14:I14)</x:f>
        <x:v>19.214999999999996</x:v>
      </x:c>
      <x:c r="J9" s="74" t="n">
        <x:f>SUM('Technology &amp; Product Investment'!$B$14:J14)</x:f>
        <x:v>21.839999999999996</x:v>
      </x:c>
      <x:c r="K9" s="74" t="n">
        <x:f>SUM('Technology &amp; Product Investment'!$B$14:K14)</x:f>
        <x:v>24.464999999999996</x:v>
      </x:c>
      <x:c r="L9" s="74" t="n">
        <x:f>SUM('Technology &amp; Product Investment'!$B$14:L14)</x:f>
        <x:v>27.089999999999996</x:v>
      </x:c>
      <x:c r="M9" s="74" t="n">
        <x:f>SUM('Technology &amp; Product Investment'!$B$14:M14)</x:f>
        <x:v>29.714999999999996</x:v>
      </x:c>
      <x:c r="N9" s="74" t="n">
        <x:f>SUM('Technology &amp; Product Investment'!$B$14:N14)</x:f>
        <x:v>32.85333333333333</x:v>
      </x:c>
      <x:c r="O9" s="74" t="n">
        <x:f>SUM('Technology &amp; Product Investment'!$B$14:O14)</x:f>
        <x:v>35.99166666666667</x:v>
      </x:c>
      <x:c r="P9" s="74" t="n">
        <x:f>SUM('Technology &amp; Product Investment'!$B$14:P14)</x:f>
        <x:v>39.13</x:v>
      </x:c>
      <x:c r="Q9" s="74" t="n">
        <x:f>SUM('Technology &amp; Product Investment'!$B$14:Q14)</x:f>
        <x:v>42.26833333333334</x:v>
      </x:c>
      <x:c r="R9" s="74" t="n">
        <x:f>SUM('Technology &amp; Product Investment'!$B$14:R14)</x:f>
        <x:v>45.40666666666667</x:v>
      </x:c>
      <x:c r="S9" s="74" t="n">
        <x:f>SUM('Technology &amp; Product Investment'!$B$14:S14)</x:f>
        <x:v>48.54500000000001</x:v>
      </x:c>
      <x:c r="T9" s="74" t="n">
        <x:f>SUM('Technology &amp; Product Investment'!$B$14:T14)</x:f>
        <x:v>51.683333333333344</x:v>
      </x:c>
      <x:c r="U9" s="74" t="n">
        <x:f>SUM('Technology &amp; Product Investment'!$B$14:U14)</x:f>
        <x:v>54.82166666666668</x:v>
      </x:c>
      <x:c r="V9" s="74" t="n">
        <x:f>SUM('Technology &amp; Product Investment'!$B$14:V14)</x:f>
        <x:v>57.960000000000015</x:v>
      </x:c>
      <x:c r="W9" s="74" t="n">
        <x:f>SUM('Technology &amp; Product Investment'!$B$14:W14)</x:f>
        <x:v>61.09833333333335</x:v>
      </x:c>
      <x:c r="X9" s="74" t="n">
        <x:f>SUM('Technology &amp; Product Investment'!$B$14:X14)</x:f>
        <x:v>64.23666666666668</x:v>
      </x:c>
      <x:c r="Y9" s="74" t="n">
        <x:f>SUM('Technology &amp; Product Investment'!$B$14:Y14)</x:f>
        <x:v>67.37500000000001</x:v>
      </x:c>
    </x:row>
    <x:row r="10" ht="15" hidden="0" customHeight="1">
      <x:c r="A10" t="str">
        <x:v>Purchased Technology Assets</x:v>
      </x:c>
      <x:c r="B10" s="74" t="n">
        <x:f>SUM('Technology &amp; Product Investment'!$B$10:B10)</x:f>
        <x:v>0</x:v>
      </x:c>
      <x:c r="C10" s="74" t="n">
        <x:f>SUM('Technology &amp; Product Investment'!$B$10:C10)</x:f>
        <x:v>5</x:v>
      </x:c>
      <x:c r="D10" s="74" t="n">
        <x:f>SUM('Technology &amp; Product Investment'!$B$10:D10)</x:f>
        <x:v>5</x:v>
      </x:c>
      <x:c r="E10" s="74" t="n">
        <x:f>SUM('Technology &amp; Product Investment'!$B$10:E10)</x:f>
        <x:v>5</x:v>
      </x:c>
      <x:c r="F10" s="74" t="n">
        <x:f>SUM('Technology &amp; Product Investment'!$B$10:F10)</x:f>
        <x:v>5</x:v>
      </x:c>
      <x:c r="G10" s="74" t="n">
        <x:f>SUM('Technology &amp; Product Investment'!$B$10:G10)</x:f>
        <x:v>5</x:v>
      </x:c>
      <x:c r="H10" s="74" t="n">
        <x:f>SUM('Technology &amp; Product Investment'!$B$10:H10)</x:f>
        <x:v>8</x:v>
      </x:c>
      <x:c r="I10" s="74" t="n">
        <x:f>SUM('Technology &amp; Product Investment'!$B$10:I10)</x:f>
        <x:v>8</x:v>
      </x:c>
      <x:c r="J10" s="74" t="n">
        <x:f>SUM('Technology &amp; Product Investment'!$B$10:J10)</x:f>
        <x:v>8</x:v>
      </x:c>
      <x:c r="K10" s="74" t="n">
        <x:f>SUM('Technology &amp; Product Investment'!$B$10:K10)</x:f>
        <x:v>8</x:v>
      </x:c>
      <x:c r="L10" s="74" t="n">
        <x:f>SUM('Technology &amp; Product Investment'!$B$10:L10)</x:f>
        <x:v>8</x:v>
      </x:c>
      <x:c r="M10" s="74" t="n">
        <x:f>SUM('Technology &amp; Product Investment'!$B$10:M10)</x:f>
        <x:v>8</x:v>
      </x:c>
      <x:c r="N10" s="74" t="n">
        <x:f>SUM('Technology &amp; Product Investment'!$B$10:N10)</x:f>
        <x:v>10</x:v>
      </x:c>
      <x:c r="O10" s="74" t="n">
        <x:f>SUM('Technology &amp; Product Investment'!$B$10:O10)</x:f>
        <x:v>10</x:v>
      </x:c>
      <x:c r="P10" s="74" t="n">
        <x:f>SUM('Technology &amp; Product Investment'!$B$10:P10)</x:f>
        <x:v>10</x:v>
      </x:c>
      <x:c r="Q10" s="74" t="n">
        <x:f>SUM('Technology &amp; Product Investment'!$B$10:Q10)</x:f>
        <x:v>10</x:v>
      </x:c>
      <x:c r="R10" s="74" t="n">
        <x:f>SUM('Technology &amp; Product Investment'!$B$10:R10)</x:f>
        <x:v>10</x:v>
      </x:c>
      <x:c r="S10" s="74" t="n">
        <x:f>SUM('Technology &amp; Product Investment'!$B$10:S10)</x:f>
        <x:v>10</x:v>
      </x:c>
      <x:c r="T10" s="74" t="n">
        <x:f>SUM('Technology &amp; Product Investment'!$B$10:T10)</x:f>
        <x:v>10</x:v>
      </x:c>
      <x:c r="U10" s="74" t="n">
        <x:f>SUM('Technology &amp; Product Investment'!$B$10:U10)</x:f>
        <x:v>10</x:v>
      </x:c>
      <x:c r="V10" s="74" t="n">
        <x:f>SUM('Technology &amp; Product Investment'!$B$10:V10)</x:f>
        <x:v>10</x:v>
      </x:c>
      <x:c r="W10" s="74" t="n">
        <x:f>SUM('Technology &amp; Product Investment'!$B$10:W10)</x:f>
        <x:v>10</x:v>
      </x:c>
      <x:c r="X10" s="74" t="n">
        <x:f>SUM('Technology &amp; Product Investment'!$B$10:X10)</x:f>
        <x:v>10</x:v>
      </x:c>
      <x:c r="Y10" s="74" t="n">
        <x:f>SUM('Technology &amp; Product Investment'!$B$10:Y10)</x:f>
        <x:v>10</x:v>
      </x:c>
    </x:row>
    <x:row r="11" ht="15" hidden="0" customHeight="1">
      <x:c r="A11" t="str">
        <x:v>Accumulated Amortisation</x:v>
      </x:c>
      <x:c r="B11" s="74" t="n">
        <x:f>'Technology &amp; Product Investment'!B15</x:f>
        <x:v>0</x:v>
      </x:c>
      <x:c r="C11" s="74" t="n">
        <x:f>'Technology &amp; Product Investment'!C15</x:f>
        <x:v>0.05979166666666666</x:v>
      </x:c>
      <x:c r="D11" s="74" t="n">
        <x:f>'Technology &amp; Product Investment'!D15</x:f>
        <x:v>0.17937499999999998</x:v>
      </x:c>
      <x:c r="E11" s="74" t="n">
        <x:f>'Technology &amp; Product Investment'!E15</x:f>
        <x:v>0.35874999999999996</x:v>
      </x:c>
      <x:c r="F11" s="74" t="n">
        <x:f>'Technology &amp; Product Investment'!F15</x:f>
        <x:v>0.6076388888888888</x:v>
      </x:c>
      <x:c r="G11" s="74" t="n">
        <x:f>'Technology &amp; Product Investment'!G15</x:f>
        <x:v>0.9260416666666665</x:v>
      </x:c>
      <x:c r="H11" s="74" t="n">
        <x:f>'Technology &amp; Product Investment'!H15</x:f>
        <x:v>1.3139583333333331</x:v>
      </x:c>
      <x:c r="I11" s="74" t="n">
        <x:f>'Technology &amp; Product Investment'!I15</x:f>
        <x:v>1.7747916666666663</x:v>
      </x:c>
      <x:c r="J11" s="74" t="n">
        <x:f>'Technology &amp; Product Investment'!J15</x:f>
        <x:v>2.3085416666666663</x:v>
      </x:c>
      <x:c r="K11" s="74" t="n">
        <x:f>'Technology &amp; Product Investment'!K15</x:f>
        <x:v>2.9152083333333327</x:v>
      </x:c>
      <x:c r="L11" s="74" t="n">
        <x:f>'Technology &amp; Product Investment'!L15</x:f>
        <x:v>3.5947916666666657</x:v>
      </x:c>
      <x:c r="M11" s="74" t="n">
        <x:f>'Technology &amp; Product Investment'!M15</x:f>
        <x:v>4.347291666666665</x:v>
      </x:c>
      <x:c r="N11" s="74" t="n">
        <x:f>'Technology &amp; Product Investment'!N15</x:f>
        <x:v>5.172708333333332</x:v>
      </x:c>
      <x:c r="O11" s="74" t="n">
        <x:f>'Technology &amp; Product Investment'!O15</x:f>
        <x:v>6.0853009259259245</x:v>
      </x:c>
      <x:c r="P11" s="74" t="n">
        <x:f>'Technology &amp; Product Investment'!P15</x:f>
        <x:v>7.085069444444443</x:v>
      </x:c>
      <x:c r="Q11" s="74" t="n">
        <x:f>'Technology &amp; Product Investment'!Q15</x:f>
        <x:v>8.172013888888888</x:v>
      </x:c>
      <x:c r="R11" s="74" t="n">
        <x:f>'Technology &amp; Product Investment'!R15</x:f>
        <x:v>9.346134259259259</x:v>
      </x:c>
      <x:c r="S11" s="74" t="n">
        <x:f>'Technology &amp; Product Investment'!S15</x:f>
        <x:v>10.607430555555554</x:v>
      </x:c>
      <x:c r="T11" s="74" t="n">
        <x:f>'Technology &amp; Product Investment'!T15</x:f>
        <x:v>11.955902777777776</x:v>
      </x:c>
      <x:c r="U11" s="74" t="n">
        <x:f>'Technology &amp; Product Investment'!U15</x:f>
        <x:v>13.391550925925925</x:v>
      </x:c>
      <x:c r="V11" s="74" t="n">
        <x:f>'Technology &amp; Product Investment'!V15</x:f>
        <x:v>14.914375</x:v>
      </x:c>
      <x:c r="W11" s="74" t="n">
        <x:f>'Technology &amp; Product Investment'!W15</x:f>
        <x:v>16.524375</x:v>
      </x:c>
      <x:c r="X11" s="74" t="n">
        <x:f>'Technology &amp; Product Investment'!X15</x:f>
        <x:v>18.221550925925925</x:v>
      </x:c>
      <x:c r="Y11" s="74" t="n">
        <x:f>'Technology &amp; Product Investment'!Y15</x:f>
        <x:v>20.005902777777777</x:v>
      </x:c>
    </x:row>
    <x:row r="12" ht="15" hidden="0" customHeight="1">
      <x:c r="A12" t="str">
        <x:v>Regulatory Deposits</x:v>
      </x:c>
      <x:c r="B12" s="74" t="n">
        <x:f>'Compliance &amp; Regulatory'!B13</x:f>
        <x:v>0</x:v>
      </x:c>
      <x:c r="C12" s="74" t="n">
        <x:f>'Compliance &amp; Regulatory'!C13</x:f>
        <x:v>0</x:v>
      </x:c>
      <x:c r="D12" s="74" t="n">
        <x:f>'Compliance &amp; Regulatory'!D13</x:f>
        <x:v>5</x:v>
      </x:c>
      <x:c r="E12" s="74" t="n">
        <x:f>'Compliance &amp; Regulatory'!E13</x:f>
        <x:v>5</x:v>
      </x:c>
      <x:c r="F12" s="74" t="n">
        <x:f>'Compliance &amp; Regulatory'!F13</x:f>
        <x:v>5</x:v>
      </x:c>
      <x:c r="G12" s="74" t="n">
        <x:f>'Compliance &amp; Regulatory'!G13</x:f>
        <x:v>5</x:v>
      </x:c>
      <x:c r="H12" s="74" t="n">
        <x:f>'Compliance &amp; Regulatory'!H13</x:f>
        <x:v>5</x:v>
      </x:c>
      <x:c r="I12" s="74" t="n">
        <x:f>'Compliance &amp; Regulatory'!I13</x:f>
        <x:v>5</x:v>
      </x:c>
      <x:c r="J12" s="74" t="n">
        <x:f>'Compliance &amp; Regulatory'!J13</x:f>
        <x:v>5</x:v>
      </x:c>
      <x:c r="K12" s="74" t="n">
        <x:f>'Compliance &amp; Regulatory'!K13</x:f>
        <x:v>5</x:v>
      </x:c>
      <x:c r="L12" s="74" t="n">
        <x:f>'Compliance &amp; Regulatory'!L13</x:f>
        <x:v>5</x:v>
      </x:c>
      <x:c r="M12" s="74" t="n">
        <x:f>'Compliance &amp; Regulatory'!M13</x:f>
        <x:v>5</x:v>
      </x:c>
      <x:c r="N12" s="74" t="n">
        <x:f>'Compliance &amp; Regulatory'!N13</x:f>
        <x:v>5</x:v>
      </x:c>
      <x:c r="O12" s="74" t="n">
        <x:f>'Compliance &amp; Regulatory'!O13</x:f>
        <x:v>5</x:v>
      </x:c>
      <x:c r="P12" s="74" t="n">
        <x:f>'Compliance &amp; Regulatory'!P13</x:f>
        <x:v>5</x:v>
      </x:c>
      <x:c r="Q12" s="74" t="n">
        <x:f>'Compliance &amp; Regulatory'!Q13</x:f>
        <x:v>5</x:v>
      </x:c>
      <x:c r="R12" s="74" t="n">
        <x:f>'Compliance &amp; Regulatory'!R13</x:f>
        <x:v>5</x:v>
      </x:c>
      <x:c r="S12" s="74" t="n">
        <x:f>'Compliance &amp; Regulatory'!S13</x:f>
        <x:v>5</x:v>
      </x:c>
      <x:c r="T12" s="74" t="n">
        <x:f>'Compliance &amp; Regulatory'!T13</x:f>
        <x:v>5</x:v>
      </x:c>
      <x:c r="U12" s="74" t="n">
        <x:f>'Compliance &amp; Regulatory'!U13</x:f>
        <x:v>5</x:v>
      </x:c>
      <x:c r="V12" s="74" t="n">
        <x:f>'Compliance &amp; Regulatory'!V13</x:f>
        <x:v>5</x:v>
      </x:c>
      <x:c r="W12" s="74" t="n">
        <x:f>'Compliance &amp; Regulatory'!W13</x:f>
        <x:v>5</x:v>
      </x:c>
      <x:c r="X12" s="74" t="n">
        <x:f>'Compliance &amp; Regulatory'!X13</x:f>
        <x:v>5</x:v>
      </x:c>
      <x:c r="Y12" s="74" t="n">
        <x:f>'Compliance &amp; Regulatory'!Y13</x:f>
        <x:v>5</x:v>
      </x:c>
    </x:row>
    <x:row r="13" ht="15" hidden="0" customHeight="1">
      <x:c r="A13" s="73" t="str">
        <x:v>Total Assets</x:v>
      </x:c>
      <x:c r="B13" s="75" t="n">
        <x:f>SUM(B6:B10)-B11+B12</x:f>
        <x:v>1002.1641898</x:v>
      </x:c>
      <x:c r="C13" s="75" t="n">
        <x:f>SUM(C6:C10)-C11+C12</x:f>
        <x:v>982.3370449958504</x:v>
      </x:c>
      <x:c r="D13" s="75" t="n">
        <x:f>SUM(D6:D10)-D11+D12</x:f>
        <x:v>963.3752231306154</x:v>
      </x:c>
      <x:c r="E13" s="75" t="n">
        <x:f>SUM(E6:E10)-E11+E12</x:f>
        <x:v>939.0132010188756</x:v>
      </x:c>
      <x:c r="F13" s="75" t="n">
        <x:f>SUM(F6:F10)-F11+F12</x:f>
        <x:v>923.0451123967997</x:v>
      </x:c>
      <x:c r="G13" s="75" t="n">
        <x:f>SUM(G6:G10)-G11+G12</x:f>
        <x:v>906.5855692344655</x:v>
      </x:c>
      <x:c r="H13" s="75" t="n">
        <x:f>SUM(H6:H10)-H11+H12</x:f>
        <x:v>892.5110039088166</x:v>
      </x:c>
      <x:c r="I13" s="75" t="n">
        <x:f>SUM(I6:I10)-I11+I12</x:f>
        <x:v>879.4301972187197</x:v>
      </x:c>
      <x:c r="J13" s="75" t="n">
        <x:f>SUM(J6:J10)-J11+J12</x:f>
        <x:v>860.9374606837158</x:v>
      </x:c>
      <x:c r="K13" s="75" t="n">
        <x:f>SUM(K6:K10)-K11+K12</x:f>
        <x:v>847.0285553923891</x:v>
      </x:c>
      <x:c r="L13" s="75" t="n">
        <x:f>SUM(L6:L10)-L11+L12</x:f>
        <x:v>832.6981983007236</x:v>
      </x:c>
      <x:c r="M13" s="75" t="n">
        <x:f>SUM(M6:M10)-M11+M12</x:f>
        <x:v>818.2622602159219</x:v>
      </x:c>
      <x:c r="N13" s="75" t="n">
        <x:f>SUM(N6:N10)-N11+N12</x:f>
        <x:v>792.9345150785016</x:v>
      </x:c>
      <x:c r="O13" s="75" t="n">
        <x:f>SUM(O6:O10)-O11+O12</x:f>
        <x:v>774.703195516425</x:v>
      </x:c>
      <x:c r="P13" s="75" t="n">
        <x:f>SUM(P6:P10)-P11+P12</x:f>
        <x:v>755.4305282854853</x:v>
      </x:c>
      <x:c r="Q13" s="75" t="n">
        <x:f>SUM(Q6:Q10)-Q11+Q12</x:f>
        <x:v>735.5876895579661</x:v>
      </x:c>
      <x:c r="R13" s="75" t="n">
        <x:f>SUM(R6:R10)-R11+R12</x:f>
        <x:v>715.1959541453714</x:v>
      </x:c>
      <x:c r="S13" s="75" t="n">
        <x:f>SUM(S6:S10)-S11+S12</x:f>
        <x:v>693.8019672173534</x:v>
      </x:c>
      <x:c r="T13" s="75" t="n">
        <x:f>SUM(T6:T10)-T11+T12</x:f>
        <x:v>661.837578719778</x:v>
      </x:c>
      <x:c r="U13" s="75" t="n">
        <x:f>SUM(U6:U10)-U11+U12</x:f>
        <x:v>641.5678566113601</x:v>
      </x:c>
      <x:c r="V13" s="75" t="n">
        <x:f>SUM(V6:V10)-V11+V12</x:f>
        <x:v>614.7434226442942</x:v>
      </x:c>
      <x:c r="W13" s="75" t="n">
        <x:f>SUM(W6:W10)-W11+W12</x:f>
        <x:v>591.6783254336044</x:v>
      </x:c>
      <x:c r="X13" s="75" t="n">
        <x:f>SUM(X6:X10)-X11+X12</x:f>
        <x:v>568.6925554821764</x:v>
      </x:c>
      <x:c r="Y13" s="75" t="n">
        <x:f>SUM(Y6:Y10)-Y11+Y12</x:f>
        <x:v>545.6114204386225</x:v>
      </x:c>
    </x:row>
    <x:row r="14" ht="15" hidden="0" customHeight="1">
      <x:c r="A14" t="str">
        <x:v>Payables / Accruals</x:v>
      </x:c>
      <x:c r="B14" s="74" t="n">
        <x:f>'Cash Flow &amp; Runway'!B20</x:f>
        <x:v>21.9700728085</x:v>
      </x:c>
      <x:c r="C14" s="74" t="n">
        <x:f>'Cash Flow &amp; Runway'!C20</x:f>
        <x:v>26.110549813181787</x:v>
      </x:c>
      <x:c r="D14" s="74" t="n">
        <x:f>'Cash Flow &amp; Runway'!D20</x:f>
        <x:v>26.88342058378702</x:v>
      </x:c>
      <x:c r="E14" s="74" t="n">
        <x:f>'Cash Flow &amp; Runway'!E20</x:f>
        <x:v>18.51546705417013</x:v>
      </x:c>
      <x:c r="F14" s="74" t="n">
        <x:f>'Cash Flow &amp; Runway'!F20</x:f>
        <x:v>19.046249283860583</x:v>
      </x:c>
      <x:c r="G14" s="74" t="n">
        <x:f>'Cash Flow &amp; Runway'!G20</x:f>
        <x:v>16.830833338813008</x:v>
      </x:c>
      <x:c r="H14" s="74" t="n">
        <x:f>'Cash Flow &amp; Runway'!H20</x:f>
        <x:v>15.885604821134216</x:v>
      </x:c>
      <x:c r="I14" s="74" t="n">
        <x:f>'Cash Flow &amp; Runway'!I20</x:f>
        <x:v>21.352363918322304</x:v>
      </x:c>
      <x:c r="J14" s="74" t="n">
        <x:f>'Cash Flow &amp; Runway'!J20</x:f>
        <x:v>16.831111795901858</x:v>
      </x:c>
      <x:c r="K14" s="74" t="n">
        <x:f>'Cash Flow &amp; Runway'!K20</x:f>
        <x:v>17.321765602384218</x:v>
      </x:c>
      <x:c r="L14" s="74" t="n">
        <x:f>'Cash Flow &amp; Runway'!L20</x:f>
        <x:v>17.50441186986216</x:v>
      </x:c>
      <x:c r="M14" s="74" t="n">
        <x:f>'Cash Flow &amp; Runway'!M20</x:f>
        <x:v>29.010282690254414</x:v>
      </x:c>
      <x:c r="N14" s="74" t="n">
        <x:f>'Cash Flow &amp; Runway'!N20</x:f>
        <x:v>22.03633542818368</x:v>
      </x:c>
      <x:c r="O14" s="74" t="n">
        <x:f>'Cash Flow &amp; Runway'!O20</x:f>
        <x:v>23.23234457352079</x:v>
      </x:c>
      <x:c r="P14" s="74" t="n">
        <x:f>'Cash Flow &amp; Runway'!P20</x:f>
        <x:v>23.9872145615879</x:v>
      </x:c>
      <x:c r="Q14" s="74" t="n">
        <x:f>'Cash Flow &amp; Runway'!Q20</x:f>
        <x:v>24.76207822504096</x:v>
      </x:c>
      <x:c r="R14" s="74" t="n">
        <x:f>'Cash Flow &amp; Runway'!R20</x:f>
        <x:v>26.034865374221802</x:v>
      </x:c>
      <x:c r="S14" s="74" t="n">
        <x:f>'Cash Flow &amp; Runway'!S20</x:f>
        <x:v>36.86548704977316</x:v>
      </x:c>
      <x:c r="T14" s="74" t="n">
        <x:f>'Cash Flow &amp; Runway'!T20</x:f>
        <x:v>25.43117791190391</x:v>
      </x:c>
      <x:c r="U14" s="74" t="n">
        <x:f>'Cash Flow &amp; Runway'!U20</x:f>
        <x:v>32.29857349486547</x:v>
      </x:c>
      <x:c r="V14" s="74" t="n">
        <x:f>'Cash Flow &amp; Runway'!V20</x:f>
        <x:v>28.894963815330815</x:v>
      </x:c>
      <x:c r="W14" s="74" t="n">
        <x:f>'Cash Flow &amp; Runway'!W20</x:f>
        <x:v>29.209040152971014</x:v>
      </x:c>
      <x:c r="X14" s="74" t="n">
        <x:f>'Cash Flow &amp; Runway'!X20</x:f>
        <x:v>29.735736865615156</x:v>
      </x:c>
      <x:c r="Y14" s="74" t="n">
        <x:f>'Cash Flow &amp; Runway'!Y20</x:f>
        <x:v>41.04877280853261</x:v>
      </x:c>
    </x:row>
    <x:row r="15" ht="15" hidden="0" customHeight="1">
      <x:c r="A15" t="str">
        <x:v>Taxes / Statutory Liabilities</x:v>
      </x:c>
      <x:c r="B15" s="74" t="n">
        <x:f>'Cash Flow &amp; Runway'!B21</x:f>
        <x:v>0</x:v>
      </x:c>
      <x:c r="C15" s="74" t="n">
        <x:f>'Cash Flow &amp; Runway'!C21</x:f>
        <x:v>0</x:v>
      </x:c>
      <x:c r="D15" s="74" t="n">
        <x:f>'Cash Flow &amp; Runway'!D21</x:f>
        <x:v>0</x:v>
      </x:c>
      <x:c r="E15" s="74" t="n">
        <x:f>'Cash Flow &amp; Runway'!E21</x:f>
        <x:v>0</x:v>
      </x:c>
      <x:c r="F15" s="74" t="n">
        <x:f>'Cash Flow &amp; Runway'!F21</x:f>
        <x:v>0</x:v>
      </x:c>
      <x:c r="G15" s="74" t="n">
        <x:f>'Cash Flow &amp; Runway'!G21</x:f>
        <x:v>0</x:v>
      </x:c>
      <x:c r="H15" s="74" t="n">
        <x:f>'Cash Flow &amp; Runway'!H21</x:f>
        <x:v>0</x:v>
      </x:c>
      <x:c r="I15" s="74" t="n">
        <x:f>'Cash Flow &amp; Runway'!I21</x:f>
        <x:v>0</x:v>
      </x:c>
      <x:c r="J15" s="74" t="n">
        <x:f>'Cash Flow &amp; Runway'!J21</x:f>
        <x:v>0</x:v>
      </x:c>
      <x:c r="K15" s="74" t="n">
        <x:f>'Cash Flow &amp; Runway'!K21</x:f>
        <x:v>0</x:v>
      </x:c>
      <x:c r="L15" s="74" t="n">
        <x:f>'Cash Flow &amp; Runway'!L21</x:f>
        <x:v>0</x:v>
      </x:c>
      <x:c r="M15" s="74" t="n">
        <x:f>'Cash Flow &amp; Runway'!M21</x:f>
        <x:v>0</x:v>
      </x:c>
      <x:c r="N15" s="74" t="n">
        <x:f>'Cash Flow &amp; Runway'!N21</x:f>
        <x:v>0</x:v>
      </x:c>
      <x:c r="O15" s="74" t="n">
        <x:f>'Cash Flow &amp; Runway'!O21</x:f>
        <x:v>0</x:v>
      </x:c>
      <x:c r="P15" s="74" t="n">
        <x:f>'Cash Flow &amp; Runway'!P21</x:f>
        <x:v>0</x:v>
      </x:c>
      <x:c r="Q15" s="74" t="n">
        <x:f>'Cash Flow &amp; Runway'!Q21</x:f>
        <x:v>0</x:v>
      </x:c>
      <x:c r="R15" s="74" t="n">
        <x:f>'Cash Flow &amp; Runway'!R21</x:f>
        <x:v>0</x:v>
      </x:c>
      <x:c r="S15" s="74" t="n">
        <x:f>'Cash Flow &amp; Runway'!S21</x:f>
        <x:v>0</x:v>
      </x:c>
      <x:c r="T15" s="74" t="n">
        <x:f>'Cash Flow &amp; Runway'!T21</x:f>
        <x:v>0</x:v>
      </x:c>
      <x:c r="U15" s="74" t="n">
        <x:f>'Cash Flow &amp; Runway'!U21</x:f>
        <x:v>0</x:v>
      </x:c>
      <x:c r="V15" s="74" t="n">
        <x:f>'Cash Flow &amp; Runway'!V21</x:f>
        <x:v>0</x:v>
      </x:c>
      <x:c r="W15" s="74" t="n">
        <x:f>'Cash Flow &amp; Runway'!W21</x:f>
        <x:v>0</x:v>
      </x:c>
      <x:c r="X15" s="74" t="n">
        <x:f>'Cash Flow &amp; Runway'!X21</x:f>
        <x:v>0</x:v>
      </x:c>
      <x:c r="Y15" s="74" t="n">
        <x:f>'Cash Flow &amp; Runway'!Y21</x:f>
        <x:v>0</x:v>
      </x:c>
    </x:row>
    <x:row r="16" ht="15" hidden="0" customHeight="1">
      <x:c r="A16" s="73" t="str">
        <x:v>Total Liabilities</x:v>
      </x:c>
      <x:c r="B16" s="75" t="n">
        <x:f>SUM(B14:B15)</x:f>
        <x:v>21.9700728085</x:v>
      </x:c>
      <x:c r="C16" s="75" t="n">
        <x:f>SUM(C14:C15)</x:f>
        <x:v>26.110549813181787</x:v>
      </x:c>
      <x:c r="D16" s="75" t="n">
        <x:f>SUM(D14:D15)</x:f>
        <x:v>26.88342058378702</x:v>
      </x:c>
      <x:c r="E16" s="75" t="n">
        <x:f>SUM(E14:E15)</x:f>
        <x:v>18.51546705417013</x:v>
      </x:c>
      <x:c r="F16" s="75" t="n">
        <x:f>SUM(F14:F15)</x:f>
        <x:v>19.046249283860583</x:v>
      </x:c>
      <x:c r="G16" s="75" t="n">
        <x:f>SUM(G14:G15)</x:f>
        <x:v>16.830833338813008</x:v>
      </x:c>
      <x:c r="H16" s="75" t="n">
        <x:f>SUM(H14:H15)</x:f>
        <x:v>15.885604821134216</x:v>
      </x:c>
      <x:c r="I16" s="75" t="n">
        <x:f>SUM(I14:I15)</x:f>
        <x:v>21.352363918322304</x:v>
      </x:c>
      <x:c r="J16" s="75" t="n">
        <x:f>SUM(J14:J15)</x:f>
        <x:v>16.831111795901858</x:v>
      </x:c>
      <x:c r="K16" s="75" t="n">
        <x:f>SUM(K14:K15)</x:f>
        <x:v>17.321765602384218</x:v>
      </x:c>
      <x:c r="L16" s="75" t="n">
        <x:f>SUM(L14:L15)</x:f>
        <x:v>17.50441186986216</x:v>
      </x:c>
      <x:c r="M16" s="75" t="n">
        <x:f>SUM(M14:M15)</x:f>
        <x:v>29.010282690254414</x:v>
      </x:c>
      <x:c r="N16" s="75" t="n">
        <x:f>SUM(N14:N15)</x:f>
        <x:v>22.03633542818368</x:v>
      </x:c>
      <x:c r="O16" s="75" t="n">
        <x:f>SUM(O14:O15)</x:f>
        <x:v>23.23234457352079</x:v>
      </x:c>
      <x:c r="P16" s="75" t="n">
        <x:f>SUM(P14:P15)</x:f>
        <x:v>23.9872145615879</x:v>
      </x:c>
      <x:c r="Q16" s="75" t="n">
        <x:f>SUM(Q14:Q15)</x:f>
        <x:v>24.76207822504096</x:v>
      </x:c>
      <x:c r="R16" s="75" t="n">
        <x:f>SUM(R14:R15)</x:f>
        <x:v>26.034865374221802</x:v>
      </x:c>
      <x:c r="S16" s="75" t="n">
        <x:f>SUM(S14:S15)</x:f>
        <x:v>36.86548704977316</x:v>
      </x:c>
      <x:c r="T16" s="75" t="n">
        <x:f>SUM(T14:T15)</x:f>
        <x:v>25.43117791190391</x:v>
      </x:c>
      <x:c r="U16" s="75" t="n">
        <x:f>SUM(U14:U15)</x:f>
        <x:v>32.29857349486547</x:v>
      </x:c>
      <x:c r="V16" s="75" t="n">
        <x:f>SUM(V14:V15)</x:f>
        <x:v>28.894963815330815</x:v>
      </x:c>
      <x:c r="W16" s="75" t="n">
        <x:f>SUM(W14:W15)</x:f>
        <x:v>29.209040152971014</x:v>
      </x:c>
      <x:c r="X16" s="75" t="n">
        <x:f>SUM(X14:X15)</x:f>
        <x:v>29.735736865615156</x:v>
      </x:c>
      <x:c r="Y16" s="75" t="n">
        <x:f>SUM(Y14:Y15)</x:f>
        <x:v>41.04877280853261</x:v>
      </x:c>
    </x:row>
    <x:row r="17" ht="15" hidden="0" customHeight="1">
      <x:c r="A17" t="str">
        <x:v>Seed Funding / Share Capital</x:v>
      </x:c>
      <x:c r="B17" s="74" t="n">
        <x:f>'Cash Flow &amp; Runway'!B9</x:f>
        <x:v>1000</x:v>
      </x:c>
      <x:c r="C17" s="74" t="n">
        <x:f>B17+'Cash Flow &amp; Runway'!C9</x:f>
        <x:v>1000</x:v>
      </x:c>
      <x:c r="D17" s="74" t="n">
        <x:f>C17+'Cash Flow &amp; Runway'!D9</x:f>
        <x:v>1000</x:v>
      </x:c>
      <x:c r="E17" s="74" t="n">
        <x:f>D17+'Cash Flow &amp; Runway'!E9</x:f>
        <x:v>1000</x:v>
      </x:c>
      <x:c r="F17" s="74" t="n">
        <x:f>E17+'Cash Flow &amp; Runway'!F9</x:f>
        <x:v>1000</x:v>
      </x:c>
      <x:c r="G17" s="74" t="n">
        <x:f>F17+'Cash Flow &amp; Runway'!G9</x:f>
        <x:v>1000</x:v>
      </x:c>
      <x:c r="H17" s="74" t="n">
        <x:f>G17+'Cash Flow &amp; Runway'!H9</x:f>
        <x:v>1000</x:v>
      </x:c>
      <x:c r="I17" s="74" t="n">
        <x:f>H17+'Cash Flow &amp; Runway'!I9</x:f>
        <x:v>1000</x:v>
      </x:c>
      <x:c r="J17" s="74" t="n">
        <x:f>I17+'Cash Flow &amp; Runway'!J9</x:f>
        <x:v>1000</x:v>
      </x:c>
      <x:c r="K17" s="74" t="n">
        <x:f>J17+'Cash Flow &amp; Runway'!K9</x:f>
        <x:v>1000</x:v>
      </x:c>
      <x:c r="L17" s="74" t="n">
        <x:f>K17+'Cash Flow &amp; Runway'!L9</x:f>
        <x:v>1000</x:v>
      </x:c>
      <x:c r="M17" s="74" t="n">
        <x:f>L17+'Cash Flow &amp; Runway'!M9</x:f>
        <x:v>1000</x:v>
      </x:c>
      <x:c r="N17" s="74" t="n">
        <x:f>M17+'Cash Flow &amp; Runway'!N9</x:f>
        <x:v>1000</x:v>
      </x:c>
      <x:c r="O17" s="74" t="n">
        <x:f>N17+'Cash Flow &amp; Runway'!O9</x:f>
        <x:v>1000</x:v>
      </x:c>
      <x:c r="P17" s="74" t="n">
        <x:f>O17+'Cash Flow &amp; Runway'!P9</x:f>
        <x:v>1000</x:v>
      </x:c>
      <x:c r="Q17" s="74" t="n">
        <x:f>P17+'Cash Flow &amp; Runway'!Q9</x:f>
        <x:v>1000</x:v>
      </x:c>
      <x:c r="R17" s="74" t="n">
        <x:f>Q17+'Cash Flow &amp; Runway'!R9</x:f>
        <x:v>1000</x:v>
      </x:c>
      <x:c r="S17" s="74" t="n">
        <x:f>R17+'Cash Flow &amp; Runway'!S9</x:f>
        <x:v>1000</x:v>
      </x:c>
      <x:c r="T17" s="74" t="n">
        <x:f>S17+'Cash Flow &amp; Runway'!T9</x:f>
        <x:v>1000</x:v>
      </x:c>
      <x:c r="U17" s="74" t="n">
        <x:f>T17+'Cash Flow &amp; Runway'!U9</x:f>
        <x:v>1000</x:v>
      </x:c>
      <x:c r="V17" s="74" t="n">
        <x:f>U17+'Cash Flow &amp; Runway'!V9</x:f>
        <x:v>1000</x:v>
      </x:c>
      <x:c r="W17" s="74" t="n">
        <x:f>V17+'Cash Flow &amp; Runway'!W9</x:f>
        <x:v>1000</x:v>
      </x:c>
      <x:c r="X17" s="74" t="n">
        <x:f>W17+'Cash Flow &amp; Runway'!X9</x:f>
        <x:v>1000</x:v>
      </x:c>
      <x:c r="Y17" s="74" t="n">
        <x:f>X17+'Cash Flow &amp; Runway'!Y9</x:f>
        <x:v>1000</x:v>
      </x:c>
    </x:row>
    <x:row r="18" ht="15" hidden="0" customHeight="1">
      <x:c r="A18" t="str">
        <x:v>Retained Earnings / Accumulated Losses</x:v>
      </x:c>
      <x:c r="B18" s="74" t="n">
        <x:f>'P&amp;L'!B23</x:f>
        <x:v>-19.805883008499997</x:v>
      </x:c>
      <x:c r="C18" s="74" t="n">
        <x:f>B18+'P&amp;L'!C23</x:f>
        <x:v>-43.773504817331215</x:v>
      </x:c>
      <x:c r="D18" s="74" t="n">
        <x:f>C18+'P&amp;L'!D23</x:f>
        <x:v>-63.508197453171604</x:v>
      </x:c>
      <x:c r="E18" s="74" t="n">
        <x:f>D18+'P&amp;L'!E23</x:f>
        <x:v>-79.5022660352944</x:v>
      </x:c>
      <x:c r="F18" s="74" t="n">
        <x:f>E18+'P&amp;L'!F23</x:f>
        <x:v>-96.00113688706088</x:v>
      </x:c>
      <x:c r="G18" s="74" t="n">
        <x:f>F18+'P&amp;L'!G23</x:f>
        <x:v>-110.24526410434754</x:v>
      </x:c>
      <x:c r="H18" s="74" t="n">
        <x:f>G18+'P&amp;L'!H23</x:f>
        <x:v>-123.37460091231773</x:v>
      </x:c>
      <x:c r="I18" s="74" t="n">
        <x:f>H18+'P&amp;L'!I23</x:f>
        <x:v>-141.92216669960254</x:v>
      </x:c>
      <x:c r="J18" s="74" t="n">
        <x:f>I18+'P&amp;L'!J23</x:f>
        <x:v>-155.89365111218615</x:v>
      </x:c>
      <x:c r="K18" s="74" t="n">
        <x:f>J18+'P&amp;L'!K23</x:f>
        <x:v>-170.29321020999515</x:v>
      </x:c>
      <x:c r="L18" s="74" t="n">
        <x:f>K18+'P&amp;L'!L23</x:f>
        <x:v>-184.80621356913844</x:v>
      </x:c>
      <x:c r="M18" s="74" t="n">
        <x:f>L18+'P&amp;L'!M23</x:f>
        <x:v>-210.74802247433217</x:v>
      </x:c>
      <x:c r="N18" s="74" t="n">
        <x:f>M18+'P&amp;L'!N23</x:f>
        <x:v>-229.10182034968167</x:v>
      </x:c>
      <x:c r="O18" s="74" t="n">
        <x:f>N18+'P&amp;L'!O23</x:f>
        <x:v>-248.5291490570953</x:v>
      </x:c>
      <x:c r="P18" s="74" t="n">
        <x:f>O18+'P&amp;L'!P23</x:f>
        <x:v>-268.556686276102</x:v>
      </x:c>
      <x:c r="Q18" s="74" t="n">
        <x:f>P18+'P&amp;L'!Q23</x:f>
        <x:v>-289.17438866707454</x:v>
      </x:c>
      <x:c r="R18" s="74" t="n">
        <x:f>Q18+'P&amp;L'!R23</x:f>
        <x:v>-310.8389112288498</x:v>
      </x:c>
      <x:c r="S18" s="74" t="n">
        <x:f>R18+'P&amp;L'!S23</x:f>
        <x:v>-343.06351983241905</x:v>
      </x:c>
      <x:c r="T18" s="74" t="n">
        <x:f>S18+'P&amp;L'!T23</x:f>
        <x:v>-363.5935991921253</x:v>
      </x:c>
      <x:c r="U18" s="74" t="n">
        <x:f>T18+'P&amp;L'!U23</x:f>
        <x:v>-390.73071688350467</x:v>
      </x:c>
      <x:c r="V18" s="74" t="n">
        <x:f>U18+'P&amp;L'!V23</x:f>
        <x:v>-414.15154117103566</x:v>
      </x:c>
      <x:c r="W18" s="74" t="n">
        <x:f>V18+'P&amp;L'!W23</x:f>
        <x:v>-437.53071471936573</x:v>
      </x:c>
      <x:c r="X18" s="74" t="n">
        <x:f>W18+'P&amp;L'!X23</x:f>
        <x:v>-461.0431813834377</x:v>
      </x:c>
      <x:c r="Y18" s="74" t="n">
        <x:f>X18+'P&amp;L'!Y23</x:f>
        <x:v>-495.4373523699091</x:v>
      </x:c>
    </x:row>
    <x:row r="19" ht="15" hidden="0" customHeight="1">
      <x:c r="A19" s="73" t="str">
        <x:v>Total Equity</x:v>
      </x:c>
      <x:c r="B19" s="75" t="n">
        <x:f>SUM(B17:B18)</x:f>
        <x:v>980.1941169915</x:v>
      </x:c>
      <x:c r="C19" s="75" t="n">
        <x:f>SUM(C17:C18)</x:f>
        <x:v>956.2264951826688</x:v>
      </x:c>
      <x:c r="D19" s="75" t="n">
        <x:f>SUM(D17:D18)</x:f>
        <x:v>936.4918025468284</x:v>
      </x:c>
      <x:c r="E19" s="75" t="n">
        <x:f>SUM(E17:E18)</x:f>
        <x:v>920.4977339647056</x:v>
      </x:c>
      <x:c r="F19" s="75" t="n">
        <x:f>SUM(F17:F18)</x:f>
        <x:v>903.9988631129391</x:v>
      </x:c>
      <x:c r="G19" s="75" t="n">
        <x:f>SUM(G17:G18)</x:f>
        <x:v>889.7547358956524</x:v>
      </x:c>
      <x:c r="H19" s="75" t="n">
        <x:f>SUM(H17:H18)</x:f>
        <x:v>876.6253990876822</x:v>
      </x:c>
      <x:c r="I19" s="75" t="n">
        <x:f>SUM(I17:I18)</x:f>
        <x:v>858.0778333003975</x:v>
      </x:c>
      <x:c r="J19" s="75" t="n">
        <x:f>SUM(J17:J18)</x:f>
        <x:v>844.1063488878139</x:v>
      </x:c>
      <x:c r="K19" s="75" t="n">
        <x:f>SUM(K17:K18)</x:f>
        <x:v>829.7067897900049</x:v>
      </x:c>
      <x:c r="L19" s="75" t="n">
        <x:f>SUM(L17:L18)</x:f>
        <x:v>815.1937864308616</x:v>
      </x:c>
      <x:c r="M19" s="75" t="n">
        <x:f>SUM(M17:M18)</x:f>
        <x:v>789.2519775256678</x:v>
      </x:c>
      <x:c r="N19" s="75" t="n">
        <x:f>SUM(N17:N18)</x:f>
        <x:v>770.8981796503183</x:v>
      </x:c>
      <x:c r="O19" s="75" t="n">
        <x:f>SUM(O17:O18)</x:f>
        <x:v>751.4708509429047</x:v>
      </x:c>
      <x:c r="P19" s="75" t="n">
        <x:f>SUM(P17:P18)</x:f>
        <x:v>731.443313723898</x:v>
      </x:c>
      <x:c r="Q19" s="75" t="n">
        <x:f>SUM(Q17:Q18)</x:f>
        <x:v>710.8256113329255</x:v>
      </x:c>
      <x:c r="R19" s="75" t="n">
        <x:f>SUM(R17:R18)</x:f>
        <x:v>689.1610887711502</x:v>
      </x:c>
      <x:c r="S19" s="75" t="n">
        <x:f>SUM(S17:S18)</x:f>
        <x:v>656.936480167581</x:v>
      </x:c>
      <x:c r="T19" s="75" t="n">
        <x:f>SUM(T17:T18)</x:f>
        <x:v>636.4064008078747</x:v>
      </x:c>
      <x:c r="U19" s="75" t="n">
        <x:f>SUM(U17:U18)</x:f>
        <x:v>609.2692831164953</x:v>
      </x:c>
      <x:c r="V19" s="75" t="n">
        <x:f>SUM(V17:V18)</x:f>
        <x:v>585.8484588289643</x:v>
      </x:c>
      <x:c r="W19" s="75" t="n">
        <x:f>SUM(W17:W18)</x:f>
        <x:v>562.4692852806343</x:v>
      </x:c>
      <x:c r="X19" s="75" t="n">
        <x:f>SUM(X17:X18)</x:f>
        <x:v>538.9568186165623</x:v>
      </x:c>
      <x:c r="Y19" s="75" t="n">
        <x:f>SUM(Y17:Y18)</x:f>
        <x:v>504.5626476300909</x:v>
      </x:c>
    </x:row>
    <x:row r="20" ht="15" hidden="0" customHeight="1">
      <x:c r="A20" t="str">
        <x:v>Total Liabilities + Equity</x:v>
      </x:c>
      <x:c r="B20" s="74" t="n">
        <x:f>B16+B19</x:f>
        <x:v>1002.1641898</x:v>
      </x:c>
      <x:c r="C20" s="74" t="n">
        <x:f>C16+C19</x:f>
        <x:v>982.3370449958506</x:v>
      </x:c>
      <x:c r="D20" s="74" t="n">
        <x:f>D16+D19</x:f>
        <x:v>963.3752231306154</x:v>
      </x:c>
      <x:c r="E20" s="74" t="n">
        <x:f>E16+E19</x:f>
        <x:v>939.0132010188757</x:v>
      </x:c>
      <x:c r="F20" s="74" t="n">
        <x:f>F16+F19</x:f>
        <x:v>923.0451123967997</x:v>
      </x:c>
      <x:c r="G20" s="74" t="n">
        <x:f>G16+G19</x:f>
        <x:v>906.5855692344654</x:v>
      </x:c>
      <x:c r="H20" s="74" t="n">
        <x:f>H16+H19</x:f>
        <x:v>892.5110039088164</x:v>
      </x:c>
      <x:c r="I20" s="74" t="n">
        <x:f>I16+I19</x:f>
        <x:v>879.4301972187199</x:v>
      </x:c>
      <x:c r="J20" s="74" t="n">
        <x:f>J16+J19</x:f>
        <x:v>860.9374606837157</x:v>
      </x:c>
      <x:c r="K20" s="74" t="n">
        <x:f>K16+K19</x:f>
        <x:v>847.0285553923891</x:v>
      </x:c>
      <x:c r="L20" s="74" t="n">
        <x:f>L16+L19</x:f>
        <x:v>832.6981983007237</x:v>
      </x:c>
      <x:c r="M20" s="74" t="n">
        <x:f>M16+M19</x:f>
        <x:v>818.2622602159222</x:v>
      </x:c>
      <x:c r="N20" s="74" t="n">
        <x:f>N16+N19</x:f>
        <x:v>792.9345150785019</x:v>
      </x:c>
      <x:c r="O20" s="74" t="n">
        <x:f>O16+O19</x:f>
        <x:v>774.7031955164255</x:v>
      </x:c>
      <x:c r="P20" s="74" t="n">
        <x:f>P16+P19</x:f>
        <x:v>755.4305282854858</x:v>
      </x:c>
      <x:c r="Q20" s="74" t="n">
        <x:f>Q16+Q19</x:f>
        <x:v>735.5876895579664</x:v>
      </x:c>
      <x:c r="R20" s="74" t="n">
        <x:f>R16+R19</x:f>
        <x:v>715.195954145372</x:v>
      </x:c>
      <x:c r="S20" s="74" t="n">
        <x:f>S16+S19</x:f>
        <x:v>693.8019672173541</x:v>
      </x:c>
      <x:c r="T20" s="74" t="n">
        <x:f>T16+T19</x:f>
        <x:v>661.8375787197785</x:v>
      </x:c>
      <x:c r="U20" s="74" t="n">
        <x:f>U16+U19</x:f>
        <x:v>641.5678566113608</x:v>
      </x:c>
      <x:c r="V20" s="74" t="n">
        <x:f>V16+V19</x:f>
        <x:v>614.7434226442952</x:v>
      </x:c>
      <x:c r="W20" s="74" t="n">
        <x:f>W16+W19</x:f>
        <x:v>591.6783254336053</x:v>
      </x:c>
      <x:c r="X20" s="74" t="n">
        <x:f>X16+X19</x:f>
        <x:v>568.6925554821775</x:v>
      </x:c>
      <x:c r="Y20" s="74" t="n">
        <x:f>Y16+Y19</x:f>
        <x:v>545.6114204386236</x:v>
      </x:c>
    </x:row>
    <x:row r="21" ht="15" hidden="0" customHeight="1">
      <x:c r="A21" s="73" t="str">
        <x:v>Balance Sheet Check</x:v>
      </x:c>
      <x:c r="B21" s="75" t="n">
        <x:f>B13-B20</x:f>
        <x:v>0</x:v>
      </x:c>
      <x:c r="C21" s="75" t="n">
        <x:f>C13-C20</x:f>
        <x:v>-2.2737367544323206e-13</x:v>
      </x:c>
      <x:c r="D21" s="75" t="n">
        <x:f>D13-D20</x:f>
        <x:v>0</x:v>
      </x:c>
      <x:c r="E21" s="75" t="n">
        <x:f>E13-E20</x:f>
        <x:v>-1.1368683772161603e-13</x:v>
      </x:c>
      <x:c r="F21" s="75" t="n">
        <x:f>F13-F20</x:f>
        <x:v>0</x:v>
      </x:c>
      <x:c r="G21" s="75" t="n">
        <x:f>G13-G20</x:f>
        <x:v>1.1368683772161603e-13</x:v>
      </x:c>
      <x:c r="H21" s="75" t="n">
        <x:f>H13-H20</x:f>
        <x:v>2.2737367544323206e-13</x:v>
      </x:c>
      <x:c r="I21" s="75" t="n">
        <x:f>I13-I20</x:f>
        <x:v>-1.1368683772161603e-13</x:v>
      </x:c>
      <x:c r="J21" s="75" t="n">
        <x:f>J13-J20</x:f>
        <x:v>1.1368683772161603e-13</x:v>
      </x:c>
      <x:c r="K21" s="75" t="n">
        <x:f>K13-K20</x:f>
        <x:v>0</x:v>
      </x:c>
      <x:c r="L21" s="75" t="n">
        <x:f>L13-L20</x:f>
        <x:v>-1.1368683772161603e-13</x:v>
      </x:c>
      <x:c r="M21" s="75" t="n">
        <x:f>M13-M20</x:f>
        <x:v>-3.410605131648481e-13</x:v>
      </x:c>
      <x:c r="N21" s="75" t="n">
        <x:f>N13-N20</x:f>
        <x:v>-3.410605131648481e-13</x:v>
      </x:c>
      <x:c r="O21" s="75" t="n">
        <x:f>O13-O20</x:f>
        <x:v>-4.547473508864641e-13</x:v>
      </x:c>
      <x:c r="P21" s="75" t="n">
        <x:f>P13-P20</x:f>
        <x:v>-5.684341886080801e-13</x:v>
      </x:c>
      <x:c r="Q21" s="75" t="n">
        <x:f>Q13-Q20</x:f>
        <x:v>-3.410605131648481e-13</x:v>
      </x:c>
      <x:c r="R21" s="75" t="n">
        <x:f>R13-R20</x:f>
        <x:v>-5.684341886080801e-13</x:v>
      </x:c>
      <x:c r="S21" s="75" t="n">
        <x:f>S13-S20</x:f>
        <x:v>-6.821210263296962e-13</x:v>
      </x:c>
      <x:c r="T21" s="75" t="n">
        <x:f>T13-T20</x:f>
        <x:v>-5.684341886080801e-13</x:v>
      </x:c>
      <x:c r="U21" s="75" t="n">
        <x:f>U13-U20</x:f>
        <x:v>-6.821210263296962e-13</x:v>
      </x:c>
      <x:c r="V21" s="75" t="n">
        <x:f>V13-V20</x:f>
        <x:v>-9.094947017729282e-13</x:v>
      </x:c>
      <x:c r="W21" s="75" t="n">
        <x:f>W13-W20</x:f>
        <x:v>-9.094947017729282e-13</x:v>
      </x:c>
      <x:c r="X21" s="75" t="n">
        <x:f>X13-X20</x:f>
        <x:v>-1.0231815394945443e-12</x:v>
      </x:c>
      <x:c r="Y21" s="75" t="n">
        <x:f>Y13-Y20</x:f>
        <x:v>-1.0231815394945443e-12</x:v>
      </x:c>
    </x:row>
  </x:sheetData>
  <x:mergeCells>
    <x:mergeCell ref="A1:H1"/>
    <x:mergeCell ref="A2:H2"/>
    <x:mergeCell ref="A5:Y5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8.25" hidden="0" customWidth="1"/>
    <x:col min="3" max="3" width="22.8799991607666" hidden="0" customWidth="1"/>
    <x:col min="4" max="4" width="13.25" hidden="0" customWidth="1"/>
    <x:col min="5" max="5" width="9.880000114440918" hidden="0" customWidth="1"/>
    <x:col min="6" max="6" width="14" hidden="0" customWidth="1"/>
    <x:col min="7" max="7" width="7.130000114440918" hidden="0" customWidth="1"/>
    <x:col min="8" max="8" width="4.25" hidden="0" customWidth="1"/>
    <x:col min="9" max="9" width="8.25" hidden="0" customWidth="1"/>
    <x:col min="10" max="10" width="34" hidden="0" customWidth="1"/>
  </x:cols>
  <x:sheetData>
    <x:row r="1" ht="19.200000762939453" hidden="0" customHeight="1">
      <x:c r="A1" s="2" t="str">
        <x:v>Funding Ask &amp; Deployment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15" hidden="0" customHeight="1">
      <x:c r="A2" s="4" t="str">
        <x:v>Funding envelopes versus actual modelled deployment and operating outcomes by phase.</x:v>
      </x:c>
    </x:row>
    <x:row r="3"/>
    <x:row r="4" ht="15" hidden="0" customHeight="1">
      <x:c r="A4" s="10" t="str">
        <x:v>Category</x:v>
      </x:c>
      <x:c r="B4" s="11" t="str">
        <x:v>Allocation</x:v>
      </x:c>
      <x:c r="C4" s="11" t="str">
        <x:v>Actual Modelled Deployment</x:v>
      </x:c>
      <x:c r="D4" s="11" t="str">
        <x:v>Variance</x:v>
      </x:c>
      <x:c r="E4" s="11" t="str">
        <x:v>% Utilised</x:v>
      </x:c>
      <x:c r="F4" s="12" t="str">
        <x:v>Timing / Outcome</x:v>
      </x:c>
    </x:row>
    <x:row r="5" ht="15" hidden="0" customHeight="1">
      <x:c r="A5" t="str">
        <x:v>Product, Engineering &amp; Technology</x:v>
      </x:c>
      <x:c r="B5" s="74" t="n">
        <x:v>225</x:v>
      </x:c>
      <x:c r="C5" s="74" t="n">
        <x:f>SUM('Technology &amp; Product Investment'!$B$6:$Y$6)</x:f>
        <x:v>127.49999999999997</x:v>
      </x:c>
      <x:c r="D5" s="74" t="n">
        <x:f>B5-C5</x:f>
        <x:v>97.50000000000003</x:v>
      </x:c>
      <x:c r="E5" s="76" t="n">
        <x:f>IF(B5&gt;0,C5/B5,0)</x:f>
        <x:v>0.5666666666666665</x:v>
      </x:c>
      <x:c r="F5" t="str">
        <x:v>Core product and engineering build</x:v>
      </x:c>
    </x:row>
    <x:row r="6" ht="15" hidden="0" customHeight="1">
      <x:c r="A6" t="str">
        <x:v>AI, Infrastructure &amp; Data</x:v>
      </x:c>
      <x:c r="B6" s="74" t="n">
        <x:v>125</x:v>
      </x:c>
      <x:c r="C6" s="74" t="n">
        <x:f>SUM('Technology &amp; Product Investment'!$B$7:$Y$8)</x:f>
        <x:v>89.99999999999999</x:v>
      </x:c>
      <x:c r="D6" s="74" t="n">
        <x:f>B6-C6</x:f>
        <x:v>35.000000000000014</x:v>
      </x:c>
      <x:c r="E6" s="76" t="n">
        <x:f>IF(B6&gt;0,C6/B6,0)</x:f>
        <x:v>0.7199999999999999</x:v>
      </x:c>
      <x:c r="F6" t="str">
        <x:v>AI, infra and market data foundation</x:v>
      </x:c>
    </x:row>
    <x:row r="7" ht="15" hidden="0" customHeight="1">
      <x:c r="A7" t="str">
        <x:v>Security &amp; QA</x:v>
      </x:c>
      <x:c r="B7" s="74" t="n">
        <x:v>40</x:v>
      </x:c>
      <x:c r="C7" s="74" t="n">
        <x:f>SUM('Technology &amp; Product Investment'!$B$9:$Y$9)</x:f>
        <x:v>40</x:v>
      </x:c>
      <x:c r="D7" s="74" t="n">
        <x:f>B7-C7</x:f>
        <x:v>0</x:v>
      </x:c>
      <x:c r="E7" s="76" t="n">
        <x:f>IF(B7&gt;0,C7/B7,0)</x:f>
        <x:v>1</x:v>
      </x:c>
      <x:c r="F7" t="str">
        <x:v>Security reviews, QA and release readiness</x:v>
      </x:c>
    </x:row>
    <x:row r="8" ht="15" hidden="0" customHeight="1">
      <x:c r="A8" t="str">
        <x:v>Compliance &amp; Regulatory</x:v>
      </x:c>
      <x:c r="B8" s="74" t="n">
        <x:v>60</x:v>
      </x:c>
      <x:c r="C8" s="74" t="n">
        <x:f>SUM('Compliance &amp; Regulatory'!$B$11:$Y$11)</x:f>
        <x:v>60.40000000000003</x:v>
      </x:c>
      <x:c r="D8" s="74" t="n">
        <x:f>B8-C8</x:f>
        <x:v>-0.400000000000027</x:v>
      </x:c>
      <x:c r="E8" s="76" t="n">
        <x:f>IF(B8&gt;0,C8/B8,0)</x:f>
        <x:v>1.006666666666667</x:v>
      </x:c>
      <x:c r="F8" t="str">
        <x:v>Legal, registration, audit and regulatory operations</x:v>
      </x:c>
    </x:row>
    <x:row r="9" ht="15" hidden="0" customHeight="1">
      <x:c r="A9" t="str">
        <x:v>Marketing &amp; Customer Acquisition</x:v>
      </x:c>
      <x:c r="B9" s="74" t="n">
        <x:v>300</x:v>
      </x:c>
      <x:c r="C9" s="74" t="n">
        <x:f>SUM('Marketing &amp; Revenue Pipeline'!$B$27:$Y$27)</x:f>
        <x:v>71.8125</x:v>
      </x:c>
      <x:c r="D9" s="74" t="n">
        <x:f>B9-C9</x:f>
        <x:v>228.1875</x:v>
      </x:c>
      <x:c r="E9" s="76" t="n">
        <x:f>IF(B9&gt;0,C9/B9,0)</x:f>
        <x:v>0.239375</x:v>
      </x:c>
      <x:c r="F9" t="str">
        <x:v>15,000 registered users target and scalable CAC</x:v>
      </x:c>
    </x:row>
    <x:row r="10" ht="15" hidden="0" customHeight="1">
      <x:c r="A10" t="str">
        <x:v>Business &amp; Operations Team</x:v>
      </x:c>
      <x:c r="B10" s="74" t="n">
        <x:v>90</x:v>
      </x:c>
      <x:c r="C10" s="74" t="n">
        <x:f>SUM('Cash Flow &amp; Runway'!$B$10:$Y$10)</x:f>
        <x:v>90</x:v>
      </x:c>
      <x:c r="D10" s="74" t="n">
        <x:f>B10-C10</x:f>
        <x:v>0</x:v>
      </x:c>
      <x:c r="E10" s="76" t="n">
        <x:f>IF(B10&gt;0,C10/B10,0)</x:f>
        <x:v>1</x:v>
      </x:c>
      <x:c r="F10" t="str">
        <x:v>Operations, partnerships and management capacity</x:v>
      </x:c>
    </x:row>
    <x:row r="11" ht="15" hidden="0" customHeight="1">
      <x:c r="A11" t="str">
        <x:v>G&amp;A / Administration</x:v>
      </x:c>
      <x:c r="B11" s="74" t="n">
        <x:v>60</x:v>
      </x:c>
      <x:c r="C11" s="74" t="n">
        <x:f>SUM('Cash Flow &amp; Runway'!$B$11:$Y$11)</x:f>
        <x:v>60</x:v>
      </x:c>
      <x:c r="D11" s="74" t="n">
        <x:f>B11-C11</x:f>
        <x:v>0</x:v>
      </x:c>
      <x:c r="E11" s="76" t="n">
        <x:f>IF(B11&gt;0,C11/B11,0)</x:f>
        <x:v>1</x:v>
      </x:c>
      <x:c r="F11" t="str">
        <x:v>Administration, office and corporate overhead</x:v>
      </x:c>
    </x:row>
    <x:row r="12" ht="15" hidden="0" customHeight="1">
      <x:c r="A12" t="str">
        <x:v>Working Capital / Contingency</x:v>
      </x:c>
      <x:c r="B12" s="74" t="n">
        <x:v>100</x:v>
      </x:c>
      <x:c r="C12" s="74" t="n">
        <x:f>'Cash Flow &amp; Runway'!$Y$23</x:f>
        <x:v>480.4473845759737</x:v>
      </x:c>
      <x:c r="D12" s="74" t="n">
        <x:f>B12-C12</x:f>
        <x:v>-380.4473845759737</x:v>
      </x:c>
      <x:c r="E12" s="76" t="n">
        <x:f>IF(B12&gt;0,C12/B12,0)</x:f>
        <x:v>4.804473845759737</x:v>
      </x:c>
      <x:c r="F12" t="str">
        <x:v>Cash cushion and runway remaining at M24</x:v>
      </x:c>
    </x:row>
    <x:row r="13" ht="15" hidden="0" customHeight="1">
      <x:c r="A13" s="73" t="str">
        <x:v>Total</x:v>
      </x:c>
      <x:c r="B13" s="75" t="n">
        <x:f>SUM(B5:B12)</x:f>
        <x:v>1000</x:v>
      </x:c>
      <x:c r="C13" s="75" t="n">
        <x:f>SUM(C5:C12)</x:f>
        <x:v>1020.1598845759736</x:v>
      </x:c>
      <x:c r="D13" s="75" t="n">
        <x:f>B13-C13</x:f>
        <x:v>-20.159884575973592</x:v>
      </x:c>
      <x:c r="E13" s="78" t="n">
        <x:f>IF(B13&gt;0,C13/B13,0)</x:f>
        <x:v>1.0201598845759736</x:v>
      </x:c>
      <x:c r="F13" s="73" t="str">
        <x:v>Seed Funding Ask: INR 10 Crore</x:v>
      </x:c>
    </x:row>
    <x:row r="14"/>
    <x:row r="15"/>
    <x:row r="16" ht="15" hidden="0" customHeight="1">
      <x:c r="A16" s="10" t="str">
        <x:v>Phase</x:v>
      </x:c>
      <x:c r="B16" s="11" t="str">
        <x:v>Months</x:v>
      </x:c>
      <x:c r="C16" s="11" t="str">
        <x:v>Funding Deployed</x:v>
      </x:c>
      <x:c r="D16" s="11" t="str">
        <x:v>Registered Users</x:v>
      </x:c>
      <x:c r="E16" s="11" t="str">
        <x:v>Active Users</x:v>
      </x:c>
      <x:c r="F16" s="11" t="str">
        <x:v>Paying Users</x:v>
      </x:c>
      <x:c r="G16" s="11" t="str">
        <x:v>Revenue</x:v>
      </x:c>
      <x:c r="H16" s="11" t="str">
        <x:v>MRR</x:v>
      </x:c>
      <x:c r="I16" s="12" t="str">
        <x:v>Cash Burn</x:v>
      </x:c>
      <x:c r="J16" s="80" t="str">
        <x:v>Key Operating Milestone</x:v>
      </x:c>
    </x:row>
    <x:row r="17" ht="15" hidden="0" customHeight="1">
      <x:c r="A17" t="str">
        <x:v>Phase 1 Build &amp; Launch</x:v>
      </x:c>
      <x:c r="B17" t="str">
        <x:v>M1-M6</x:v>
      </x:c>
      <x:c r="C17" s="74" t="n">
        <x:f>SUM('Cash Flow &amp; Runway'!B$10:G$17)+SUM('Cash Flow &amp; Runway'!B$13:G$16)</x:f>
        <x:v>242.93159288231246</x:v>
      </x:c>
      <x:c r="D17" s="81" t="n">
        <x:f>'Marketing &amp; Revenue Pipeline'!G$21</x:f>
        <x:v>2125</x:v>
      </x:c>
      <x:c r="E17" s="81" t="n">
        <x:f>'Marketing &amp; Revenue Pipeline'!G$36</x:f>
        <x:v>586.6847826086957</x:v>
      </x:c>
      <x:c r="F17" s="81" t="n">
        <x:f>'Marketing &amp; Revenue Pipeline'!G$41</x:f>
        <x:v>88.88913043478261</x:v>
      </x:c>
      <x:c r="G17" s="74" t="n">
        <x:f>SUM('Marketing &amp; Revenue Pipeline'!B$47:G$47)</x:f>
        <x:v>1.072370444631654</x:v>
      </x:c>
      <x:c r="H17" s="74" t="n">
        <x:f>'Marketing &amp; Revenue Pipeline'!G$48</x:f>
        <x:v>0.393758720541903</x:v>
      </x:c>
      <x:c r="I17" s="74" t="n">
        <x:f>SUM('Cash Flow &amp; Runway'!B$24:G$24)</x:f>
        <x:v>117.30820603395182</x:v>
      </x:c>
      <x:c r="J17" t="str">
        <x:v>Product and regulatory build</x:v>
      </x:c>
    </x:row>
    <x:row r="18" ht="15" hidden="0" customHeight="1">
      <x:c r="A18" t="str">
        <x:v>Phase 2 Validate &amp; Scale</x:v>
      </x:c>
      <x:c r="B18" t="str">
        <x:v>M7-M12</x:v>
      </x:c>
      <x:c r="C18" s="74" t="n">
        <x:f>SUM('Cash Flow &amp; Runway'!H$10:M$17)+SUM('Cash Flow &amp; Runway'!H$13:M$16)</x:f>
        <x:v>200.4430406978591</x:v>
      </x:c>
      <x:c r="D18" s="81" t="n">
        <x:f>'Marketing &amp; Revenue Pipeline'!M$21</x:f>
        <x:v>5000</x:v>
      </x:c>
      <x:c r="E18" s="81" t="n">
        <x:f>'Marketing &amp; Revenue Pipeline'!M$36</x:f>
        <x:v>1836.9565217391307</x:v>
      </x:c>
      <x:c r="F18" s="81" t="n">
        <x:f>'Marketing &amp; Revenue Pipeline'!M$41</x:f>
        <x:v>240.1391304347826</x:v>
      </x:c>
      <x:c r="G18" s="74" t="n">
        <x:f>SUM('Marketing &amp; Revenue Pipeline'!H$47:M$47)</x:f>
        <x:v>5.074032327874579</x:v>
      </x:c>
      <x:c r="H18" s="74" t="n">
        <x:f>'Marketing &amp; Revenue Pipeline'!M$48</x:f>
        <x:v>1.1463863764965343</x:v>
      </x:c>
      <x:c r="I18" s="74" t="n">
        <x:f>SUM('Cash Flow &amp; Runway'!H$24:M$24)</x:f>
        <x:v>104.32213733081858</x:v>
      </x:c>
      <x:c r="J18" t="str">
        <x:v>PMF validation and first scale</x:v>
      </x:c>
    </x:row>
    <x:row r="19" ht="15" hidden="0" customHeight="1">
      <x:c r="A19" t="str">
        <x:v>Phase 3 Scale &amp; Monetise</x:v>
      </x:c>
      <x:c r="B19" t="str">
        <x:v>M13-M24</x:v>
      </x:c>
      <x:c r="C19" s="74" t="n">
        <x:f>SUM('Cash Flow &amp; Runway'!N$10:Y$17)+SUM('Cash Flow &amp; Runway'!N$13:Y$16)</x:f>
        <x:v>557.1365902615473</x:v>
      </x:c>
      <x:c r="D19" s="81" t="n">
        <x:f>'Marketing &amp; Revenue Pipeline'!Y$21</x:f>
        <x:v>15000</x:v>
      </x:c>
      <x:c r="E19" s="81" t="n">
        <x:f>'Marketing &amp; Revenue Pipeline'!Y$36</x:f>
        <x:v>8250</x:v>
      </x:c>
      <x:c r="F19" s="81" t="n">
        <x:f>'Marketing &amp; Revenue Pipeline'!Y$41</x:f>
        <x:v>986.4</x:v>
      </x:c>
      <x:c r="G19" s="74" t="n">
        <x:f>SUM('Marketing &amp; Revenue Pipeline'!N$47:Y$47)</x:f>
        <x:v>36.84587147708145</x:v>
      </x:c>
      <x:c r="H19" s="74" t="n">
        <x:f>'Marketing &amp; Revenue Pipeline'!Y$48</x:f>
        <x:v>4.80562034057971</x:v>
      </x:c>
      <x:c r="I19" s="74" t="n">
        <x:f>SUM('Cash Flow &amp; Runway'!N$24:Y$24)</x:f>
        <x:v>297.92227205925593</x:v>
      </x:c>
      <x:c r="J19" t="str">
        <x:v>Operating leverage and monetisation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4" hidden="0" customWidth="1"/>
    <x:col min="2" max="2" width="7" hidden="0" customWidth="1"/>
    <x:col min="3" max="3" width="7.5" hidden="0" customWidth="1"/>
    <x:col min="4" max="4" width="8.380000114440918" hidden="0" customWidth="1"/>
    <x:col min="5" max="5" width="7.880000114440918" hidden="0" customWidth="1"/>
    <x:col min="6" max="6" width="5.25" hidden="0" customWidth="1"/>
  </x:cols>
  <x:sheetData>
    <x:row r="1" ht="19.200000762939453" hidden="0" customHeight="1">
      <x:c r="A1" s="2" t="str">
        <x:v>Model Checks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15" hidden="0" customHeight="1">
      <x:c r="A2" s="4" t="str">
        <x:v>Automated validation: PASS, WARNING or FAIL.</x:v>
      </x:c>
    </x:row>
    <x:row r="3"/>
    <x:row r="4" ht="15" hidden="0" customHeight="1">
      <x:c r="A4" s="10" t="str">
        <x:v>Check</x:v>
      </x:c>
      <x:c r="B4" s="11" t="str">
        <x:v>Actual</x:v>
      </x:c>
      <x:c r="C4" s="11" t="str">
        <x:v>Expected</x:v>
      </x:c>
      <x:c r="D4" s="11" t="str">
        <x:v>Difference</x:v>
      </x:c>
      <x:c r="E4" s="11" t="str">
        <x:v>Tolerance</x:v>
      </x:c>
      <x:c r="F4" s="12" t="str">
        <x:v>Status</x:v>
      </x:c>
    </x:row>
    <x:row r="5" ht="15" hidden="0" customHeight="1">
      <x:c r="A5" t="str">
        <x:v>M24 analyst count = 90</x:v>
      </x:c>
      <x:c r="B5" s="74" t="n">
        <x:f>'Marketing &amp; Revenue Pipeline'!Y10</x:f>
        <x:v>90</x:v>
      </x:c>
      <x:c r="C5" s="74" t="n">
        <x:f>90</x:f>
        <x:v>90</x:v>
      </x:c>
      <x:c r="D5" s="74" t="n">
        <x:f>B5-C5</x:f>
        <x:v>0</x:v>
      </x:c>
      <x:c r="E5" s="74" t="n">
        <x:v>0.01</x:v>
      </x:c>
      <x:c r="F5" s="82" t="str">
        <x:f>IF(ABS(D5)&lt;=E5,"PASS",IF(ABS(D5)&lt;=E5*5,"WARNING","FAIL"))</x:f>
        <x:v>PASS</x:v>
      </x:c>
    </x:row>
    <x:row r="6" ht="15" hidden="0" customHeight="1">
      <x:c r="A6" t="str">
        <x:v>M24 cumulative registered users approx 15,000</x:v>
      </x:c>
      <x:c r="B6" s="74" t="n">
        <x:f>'Marketing &amp; Revenue Pipeline'!Y21</x:f>
        <x:v>15000</x:v>
      </x:c>
      <x:c r="C6" s="74" t="n">
        <x:f>15000</x:f>
        <x:v>15000</x:v>
      </x:c>
      <x:c r="D6" s="74" t="n">
        <x:f>B6-C6</x:f>
        <x:v>0</x:v>
      </x:c>
      <x:c r="E6" s="74" t="n">
        <x:v>150</x:v>
      </x:c>
      <x:c r="F6" s="82" t="str">
        <x:f>IF(ABS(D6)&lt;=E6,"PASS",IF(ABS(D6)&lt;=E6*5,"WARNING","FAIL"))</x:f>
        <x:v>PASS</x:v>
      </x:c>
    </x:row>
    <x:row r="7" ht="15" hidden="0" customHeight="1">
      <x:c r="A7" t="str">
        <x:v>Registered users never decline</x:v>
      </x:c>
      <x:c r="B7" s="74" t="n">
        <x:f>MIN(0,'Marketing &amp; Revenue Pipeline'!C21-'Marketing &amp; Revenue Pipeline'!B21,'Marketing &amp; Revenue Pipeline'!D21-'Marketing &amp; Revenue Pipeline'!C21,'Marketing &amp; Revenue Pipeline'!E21-'Marketing &amp; Revenue Pipeline'!D21,'Marketing &amp; Revenue Pipeline'!F21-'Marketing &amp; Revenue Pipeline'!E21,'Marketing &amp; Revenue Pipeline'!G21-'Marketing &amp; Revenue Pipeline'!F21,'Marketing &amp; Revenue Pipeline'!H21-'Marketing &amp; Revenue Pipeline'!G21,'Marketing &amp; Revenue Pipeline'!I21-'Marketing &amp; Revenue Pipeline'!H21,'Marketing &amp; Revenue Pipeline'!J21-'Marketing &amp; Revenue Pipeline'!I21,'Marketing &amp; Revenue Pipeline'!K21-'Marketing &amp; Revenue Pipeline'!J21,'Marketing &amp; Revenue Pipeline'!L21-'Marketing &amp; Revenue Pipeline'!K21,'Marketing &amp; Revenue Pipeline'!M21-'Marketing &amp; Revenue Pipeline'!L21,'Marketing &amp; Revenue Pipeline'!N21-'Marketing &amp; Revenue Pipeline'!M21,'Marketing &amp; Revenue Pipeline'!O21-'Marketing &amp; Revenue Pipeline'!N21,'Marketing &amp; Revenue Pipeline'!P21-'Marketing &amp; Revenue Pipeline'!O21,'Marketing &amp; Revenue Pipeline'!Q21-'Marketing &amp; Revenue Pipeline'!P21,'Marketing &amp; Revenue Pipeline'!R21-'Marketing &amp; Revenue Pipeline'!Q21,'Marketing &amp; Revenue Pipeline'!S21-'Marketing &amp; Revenue Pipeline'!R21,'Marketing &amp; Revenue Pipeline'!T21-'Marketing &amp; Revenue Pipeline'!S21,'Marketing &amp; Revenue Pipeline'!U21-'Marketing &amp; Revenue Pipeline'!T21,'Marketing &amp; Revenue Pipeline'!V21-'Marketing &amp; Revenue Pipeline'!U21,'Marketing &amp; Revenue Pipeline'!W21-'Marketing &amp; Revenue Pipeline'!V21,'Marketing &amp; Revenue Pipeline'!X21-'Marketing &amp; Revenue Pipeline'!W21,'Marketing &amp; Revenue Pipeline'!Y21-'Marketing &amp; Revenue Pipeline'!X21)</x:f>
        <x:v>0</x:v>
      </x:c>
      <x:c r="C7" s="74" t="n">
        <x:f>0</x:f>
        <x:v>0</x:v>
      </x:c>
      <x:c r="D7" s="74" t="n">
        <x:f>B7-C7</x:f>
        <x:v>0</x:v>
      </x:c>
      <x:c r="E7" s="74" t="n">
        <x:v>0</x:v>
      </x:c>
      <x:c r="F7" s="82" t="str">
        <x:f>IF(ABS(D7)&lt;=E7,"PASS",IF(ABS(D7)&lt;=E7*5,"WARNING","FAIL"))</x:f>
        <x:v>PASS</x:v>
      </x:c>
    </x:row>
    <x:row r="8" ht="15" hidden="0" customHeight="1">
      <x:c r="A8" t="str">
        <x:v>Organic users M1-M12 = 0</x:v>
      </x:c>
      <x:c r="B8" s="74" t="n">
        <x:f>SUM('Marketing &amp; Revenue Pipeline'!B19:M19)</x:f>
        <x:v>0</x:v>
      </x:c>
      <x:c r="C8" s="74" t="n">
        <x:f>0</x:f>
        <x:v>0</x:v>
      </x:c>
      <x:c r="D8" s="74" t="n">
        <x:f>B8-C8</x:f>
        <x:v>0</x:v>
      </x:c>
      <x:c r="E8" s="74" t="n">
        <x:v>0.01</x:v>
      </x:c>
      <x:c r="F8" s="82" t="str">
        <x:f>IF(ABS(D8)&lt;=E8,"PASS",IF(ABS(D8)&lt;=E8*5,"WARNING","FAIL"))</x:f>
        <x:v>PASS</x:v>
      </x:c>
    </x:row>
    <x:row r="9" ht="15" hidden="0" customHeight="1">
      <x:c r="A9" t="str">
        <x:v>Direct users never negative</x:v>
      </x:c>
      <x:c r="B9" s="74" t="n">
        <x:f>MIN('Marketing &amp; Revenue Pipeline'!B18:Y18)</x:f>
        <x:v>0</x:v>
      </x:c>
      <x:c r="C9" s="74" t="n">
        <x:f>0</x:f>
        <x:v>0</x:v>
      </x:c>
      <x:c r="D9" s="74" t="n">
        <x:f>B9-C9</x:f>
        <x:v>0</x:v>
      </x:c>
      <x:c r="E9" s="74" t="n">
        <x:v>0</x:v>
      </x:c>
      <x:c r="F9" s="82" t="str">
        <x:f>IF(ABS(D9)&lt;=E9,"PASS",IF(ABS(D9)&lt;=E9*5,"WARNING","FAIL"))</x:f>
        <x:v>PASS</x:v>
      </x:c>
    </x:row>
    <x:row r="10" ht="15" hidden="0" customHeight="1">
      <x:c r="A10" t="str">
        <x:v>Analyst cohort realised + tail = lifetime potential</x:v>
      </x:c>
      <x:c r="B10" s="74" t="n">
        <x:f>'Marketing &amp; Revenue Pipeline'!Y15+'Marketing &amp; Revenue Pipeline'!Y16</x:f>
        <x:v>7200</x:v>
      </x:c>
      <x:c r="C10" s="74" t="n">
        <x:f>'Marketing &amp; Revenue Pipeline'!Y14</x:f>
        <x:v>7200</x:v>
      </x:c>
      <x:c r="D10" s="74" t="n">
        <x:f>B10-C10</x:f>
        <x:v>0</x:v>
      </x:c>
      <x:c r="E10" s="74" t="n">
        <x:v>0.01</x:v>
      </x:c>
      <x:c r="F10" s="82" t="str">
        <x:f>IF(ABS(D10)&lt;=E10,"PASS",IF(ABS(D10)&lt;=E10*5,"WARNING","FAIL"))</x:f>
        <x:v>PASS</x:v>
      </x:c>
    </x:row>
    <x:row r="11" ht="15" hidden="0" customHeight="1">
      <x:c r="A11" t="str">
        <x:v>Lifetime analyst potential = 7,200</x:v>
      </x:c>
      <x:c r="B11" s="74" t="n">
        <x:f>'Marketing &amp; Revenue Pipeline'!Y14</x:f>
        <x:v>7200</x:v>
      </x:c>
      <x:c r="C11" s="74" t="n">
        <x:f>7200</x:f>
        <x:v>7200</x:v>
      </x:c>
      <x:c r="D11" s="74" t="n">
        <x:f>B11-C11</x:f>
        <x:v>0</x:v>
      </x:c>
      <x:c r="E11" s="74" t="n">
        <x:v>0.01</x:v>
      </x:c>
      <x:c r="F11" s="82" t="str">
        <x:f>IF(ABS(D11)&lt;=E11,"PASS",IF(ABS(D11)&lt;=E11*5,"WARNING","FAIL"))</x:f>
        <x:v>PASS</x:v>
      </x:c>
    </x:row>
    <x:row r="12" ht="15" hidden="0" customHeight="1">
      <x:c r="A12" t="str">
        <x:v>Post-M24 analyst registrations separately disclosed</x:v>
      </x:c>
      <x:c r="B12" s="74" t="n">
        <x:f>'Marketing &amp; Revenue Pipeline'!Y16</x:f>
        <x:v>80</x:v>
      </x:c>
      <x:c r="C12" s="74" t="n">
        <x:f>80</x:f>
        <x:v>80</x:v>
      </x:c>
      <x:c r="D12" s="74" t="n">
        <x:f>B12-C12</x:f>
        <x:v>0</x:v>
      </x:c>
      <x:c r="E12" s="74" t="n">
        <x:v>0.01</x:v>
      </x:c>
      <x:c r="F12" s="82" t="str">
        <x:f>IF(ABS(D12)&lt;=E12,"PASS",IF(ABS(D12)&lt;=E12*5,"WARNING","FAIL"))</x:f>
        <x:v>PASS</x:v>
      </x:c>
    </x:row>
    <x:row r="13" ht="15" hidden="0" customHeight="1">
      <x:c r="A13" t="str">
        <x:v>Paying subscribers never exceed active users</x:v>
      </x:c>
      <x:c r="B13" s="74" t="n">
        <x:f>MIN(0,'Marketing &amp; Revenue Pipeline'!B36-'Marketing &amp; Revenue Pipeline'!B41,'Marketing &amp; Revenue Pipeline'!C36-'Marketing &amp; Revenue Pipeline'!C41,'Marketing &amp; Revenue Pipeline'!D36-'Marketing &amp; Revenue Pipeline'!D41,'Marketing &amp; Revenue Pipeline'!E36-'Marketing &amp; Revenue Pipeline'!E41,'Marketing &amp; Revenue Pipeline'!F36-'Marketing &amp; Revenue Pipeline'!F41,'Marketing &amp; Revenue Pipeline'!G36-'Marketing &amp; Revenue Pipeline'!G41,'Marketing &amp; Revenue Pipeline'!H36-'Marketing &amp; Revenue Pipeline'!H41,'Marketing &amp; Revenue Pipeline'!I36-'Marketing &amp; Revenue Pipeline'!I41,'Marketing &amp; Revenue Pipeline'!J36-'Marketing &amp; Revenue Pipeline'!J41,'Marketing &amp; Revenue Pipeline'!K36-'Marketing &amp; Revenue Pipeline'!K41,'Marketing &amp; Revenue Pipeline'!L36-'Marketing &amp; Revenue Pipeline'!L41,'Marketing &amp; Revenue Pipeline'!M36-'Marketing &amp; Revenue Pipeline'!M41,'Marketing &amp; Revenue Pipeline'!N36-'Marketing &amp; Revenue Pipeline'!N41,'Marketing &amp; Revenue Pipeline'!O36-'Marketing &amp; Revenue Pipeline'!O41,'Marketing &amp; Revenue Pipeline'!P36-'Marketing &amp; Revenue Pipeline'!P41,'Marketing &amp; Revenue Pipeline'!Q36-'Marketing &amp; Revenue Pipeline'!Q41,'Marketing &amp; Revenue Pipeline'!R36-'Marketing &amp; Revenue Pipeline'!R41,'Marketing &amp; Revenue Pipeline'!S36-'Marketing &amp; Revenue Pipeline'!S41,'Marketing &amp; Revenue Pipeline'!T36-'Marketing &amp; Revenue Pipeline'!T41,'Marketing &amp; Revenue Pipeline'!U36-'Marketing &amp; Revenue Pipeline'!U41,'Marketing &amp; Revenue Pipeline'!V36-'Marketing &amp; Revenue Pipeline'!V41,'Marketing &amp; Revenue Pipeline'!W36-'Marketing &amp; Revenue Pipeline'!W41,'Marketing &amp; Revenue Pipeline'!X36-'Marketing &amp; Revenue Pipeline'!X41,'Marketing &amp; Revenue Pipeline'!Y36-'Marketing &amp; Revenue Pipeline'!Y41)</x:f>
        <x:v>0</x:v>
      </x:c>
      <x:c r="C13" s="74" t="n">
        <x:f>0</x:f>
        <x:v>0</x:v>
      </x:c>
      <x:c r="D13" s="74" t="n">
        <x:f>B13-C13</x:f>
        <x:v>0</x:v>
      </x:c>
      <x:c r="E13" s="74" t="n">
        <x:v>0</x:v>
      </x:c>
      <x:c r="F13" s="82" t="str">
        <x:f>IF(ABS(D13)&lt;=E13,"PASS",IF(ABS(D13)&lt;=E13*5,"WARNING","FAIL"))</x:f>
        <x:v>PASS</x:v>
      </x:c>
    </x:row>
    <x:row r="14" ht="15" hidden="0" customHeight="1">
      <x:c r="A14" t="str">
        <x:v>Active users never exceed registered users</x:v>
      </x:c>
      <x:c r="B14" s="74" t="n">
        <x:f>MIN(0,'Marketing &amp; Revenue Pipeline'!B21-'Marketing &amp; Revenue Pipeline'!B36,'Marketing &amp; Revenue Pipeline'!C21-'Marketing &amp; Revenue Pipeline'!C36,'Marketing &amp; Revenue Pipeline'!D21-'Marketing &amp; Revenue Pipeline'!D36,'Marketing &amp; Revenue Pipeline'!E21-'Marketing &amp; Revenue Pipeline'!E36,'Marketing &amp; Revenue Pipeline'!F21-'Marketing &amp; Revenue Pipeline'!F36,'Marketing &amp; Revenue Pipeline'!G21-'Marketing &amp; Revenue Pipeline'!G36,'Marketing &amp; Revenue Pipeline'!H21-'Marketing &amp; Revenue Pipeline'!H36,'Marketing &amp; Revenue Pipeline'!I21-'Marketing &amp; Revenue Pipeline'!I36,'Marketing &amp; Revenue Pipeline'!J21-'Marketing &amp; Revenue Pipeline'!J36,'Marketing &amp; Revenue Pipeline'!K21-'Marketing &amp; Revenue Pipeline'!K36,'Marketing &amp; Revenue Pipeline'!L21-'Marketing &amp; Revenue Pipeline'!L36,'Marketing &amp; Revenue Pipeline'!M21-'Marketing &amp; Revenue Pipeline'!M36,'Marketing &amp; Revenue Pipeline'!N21-'Marketing &amp; Revenue Pipeline'!N36,'Marketing &amp; Revenue Pipeline'!O21-'Marketing &amp; Revenue Pipeline'!O36,'Marketing &amp; Revenue Pipeline'!P21-'Marketing &amp; Revenue Pipeline'!P36,'Marketing &amp; Revenue Pipeline'!Q21-'Marketing &amp; Revenue Pipeline'!Q36,'Marketing &amp; Revenue Pipeline'!R21-'Marketing &amp; Revenue Pipeline'!R36,'Marketing &amp; Revenue Pipeline'!S21-'Marketing &amp; Revenue Pipeline'!S36,'Marketing &amp; Revenue Pipeline'!T21-'Marketing &amp; Revenue Pipeline'!T36,'Marketing &amp; Revenue Pipeline'!U21-'Marketing &amp; Revenue Pipeline'!U36,'Marketing &amp; Revenue Pipeline'!V21-'Marketing &amp; Revenue Pipeline'!V36,'Marketing &amp; Revenue Pipeline'!W21-'Marketing &amp; Revenue Pipeline'!W36,'Marketing &amp; Revenue Pipeline'!X21-'Marketing &amp; Revenue Pipeline'!X36,'Marketing &amp; Revenue Pipeline'!Y21-'Marketing &amp; Revenue Pipeline'!Y36)</x:f>
        <x:v>0</x:v>
      </x:c>
      <x:c r="C14" s="74" t="n">
        <x:f>0</x:f>
        <x:v>0</x:v>
      </x:c>
      <x:c r="D14" s="74" t="n">
        <x:f>B14-C14</x:f>
        <x:v>0</x:v>
      </x:c>
      <x:c r="E14" s="74" t="n">
        <x:v>0</x:v>
      </x:c>
      <x:c r="F14" s="82" t="str">
        <x:f>IF(ABS(D14)&lt;=E14,"PASS",IF(ABS(D14)&lt;=E14*5,"WARNING","FAIL"))</x:f>
        <x:v>PASS</x:v>
      </x:c>
    </x:row>
    <x:row r="15" ht="15" hidden="0" customHeight="1">
      <x:c r="A15" t="str">
        <x:v>Subscriber stock roll-forward reconciles</x:v>
      </x:c>
      <x:c r="B15" s="74" t="n">
        <x:f>ABS('Marketing &amp; Revenue Pipeline'!B37+'Marketing &amp; Revenue Pipeline'!B39-'Marketing &amp; Revenue Pipeline'!B40-'Marketing &amp; Revenue Pipeline'!B41)+ABS('Marketing &amp; Revenue Pipeline'!C37+'Marketing &amp; Revenue Pipeline'!C39-'Marketing &amp; Revenue Pipeline'!C40-'Marketing &amp; Revenue Pipeline'!C41)+ABS('Marketing &amp; Revenue Pipeline'!D37+'Marketing &amp; Revenue Pipeline'!D39-'Marketing &amp; Revenue Pipeline'!D40-'Marketing &amp; Revenue Pipeline'!D41)+ABS('Marketing &amp; Revenue Pipeline'!E37+'Marketing &amp; Revenue Pipeline'!E39-'Marketing &amp; Revenue Pipeline'!E40-'Marketing &amp; Revenue Pipeline'!E41)+ABS('Marketing &amp; Revenue Pipeline'!F37+'Marketing &amp; Revenue Pipeline'!F39-'Marketing &amp; Revenue Pipeline'!F40-'Marketing &amp; Revenue Pipeline'!F41)+ABS('Marketing &amp; Revenue Pipeline'!G37+'Marketing &amp; Revenue Pipeline'!G39-'Marketing &amp; Revenue Pipeline'!G40-'Marketing &amp; Revenue Pipeline'!G41)+ABS('Marketing &amp; Revenue Pipeline'!H37+'Marketing &amp; Revenue Pipeline'!H39-'Marketing &amp; Revenue Pipeline'!H40-'Marketing &amp; Revenue Pipeline'!H41)+ABS('Marketing &amp; Revenue Pipeline'!I37+'Marketing &amp; Revenue Pipeline'!I39-'Marketing &amp; Revenue Pipeline'!I40-'Marketing &amp; Revenue Pipeline'!I41)+ABS('Marketing &amp; Revenue Pipeline'!J37+'Marketing &amp; Revenue Pipeline'!J39-'Marketing &amp; Revenue Pipeline'!J40-'Marketing &amp; Revenue Pipeline'!J41)+ABS('Marketing &amp; Revenue Pipeline'!K37+'Marketing &amp; Revenue Pipeline'!K39-'Marketing &amp; Revenue Pipeline'!K40-'Marketing &amp; Revenue Pipeline'!K41)+ABS('Marketing &amp; Revenue Pipeline'!L37+'Marketing &amp; Revenue Pipeline'!L39-'Marketing &amp; Revenue Pipeline'!L40-'Marketing &amp; Revenue Pipeline'!L41)+ABS('Marketing &amp; Revenue Pipeline'!M37+'Marketing &amp; Revenue Pipeline'!M39-'Marketing &amp; Revenue Pipeline'!M40-'Marketing &amp; Revenue Pipeline'!M41)+ABS('Marketing &amp; Revenue Pipeline'!N37+'Marketing &amp; Revenue Pipeline'!N39-'Marketing &amp; Revenue Pipeline'!N40-'Marketing &amp; Revenue Pipeline'!N41)+ABS('Marketing &amp; Revenue Pipeline'!O37+'Marketing &amp; Revenue Pipeline'!O39-'Marketing &amp; Revenue Pipeline'!O40-'Marketing &amp; Revenue Pipeline'!O41)+ABS('Marketing &amp; Revenue Pipeline'!P37+'Marketing &amp; Revenue Pipeline'!P39-'Marketing &amp; Revenue Pipeline'!P40-'Marketing &amp; Revenue Pipeline'!P41)+ABS('Marketing &amp; Revenue Pipeline'!Q37+'Marketing &amp; Revenue Pipeline'!Q39-'Marketing &amp; Revenue Pipeline'!Q40-'Marketing &amp; Revenue Pipeline'!Q41)+ABS('Marketing &amp; Revenue Pipeline'!R37+'Marketing &amp; Revenue Pipeline'!R39-'Marketing &amp; Revenue Pipeline'!R40-'Marketing &amp; Revenue Pipeline'!R41)+ABS('Marketing &amp; Revenue Pipeline'!S37+'Marketing &amp; Revenue Pipeline'!S39-'Marketing &amp; Revenue Pipeline'!S40-'Marketing &amp; Revenue Pipeline'!S41)+ABS('Marketing &amp; Revenue Pipeline'!T37+'Marketing &amp; Revenue Pipeline'!T39-'Marketing &amp; Revenue Pipeline'!T40-'Marketing &amp; Revenue Pipeline'!T41)+ABS('Marketing &amp; Revenue Pipeline'!U37+'Marketing &amp; Revenue Pipeline'!U39-'Marketing &amp; Revenue Pipeline'!U40-'Marketing &amp; Revenue Pipeline'!U41)+ABS('Marketing &amp; Revenue Pipeline'!V37+'Marketing &amp; Revenue Pipeline'!V39-'Marketing &amp; Revenue Pipeline'!V40-'Marketing &amp; Revenue Pipeline'!V41)+ABS('Marketing &amp; Revenue Pipeline'!W37+'Marketing &amp; Revenue Pipeline'!W39-'Marketing &amp; Revenue Pipeline'!W40-'Marketing &amp; Revenue Pipeline'!W41)+ABS('Marketing &amp; Revenue Pipeline'!X37+'Marketing &amp; Revenue Pipeline'!X39-'Marketing &amp; Revenue Pipeline'!X40-'Marketing &amp; Revenue Pipeline'!X41)+ABS('Marketing &amp; Revenue Pipeline'!Y37+'Marketing &amp; Revenue Pipeline'!Y39-'Marketing &amp; Revenue Pipeline'!Y40-'Marketing &amp; Revenue Pipeline'!Y41)</x:f>
        <x:v>0</x:v>
      </x:c>
      <x:c r="C15" s="74" t="n">
        <x:f>0</x:f>
        <x:v>0</x:v>
      </x:c>
      <x:c r="D15" s="74" t="n">
        <x:f>B15-C15</x:f>
        <x:v>0</x:v>
      </x:c>
      <x:c r="E15" s="74" t="n">
        <x:v>0.01</x:v>
      </x:c>
      <x:c r="F15" s="82" t="str">
        <x:f>IF(ABS(D15)&lt;=E15,"PASS",IF(ABS(D15)&lt;=E15*5,"WARNING","FAIL"))</x:f>
        <x:v>PASS</x:v>
      </x:c>
    </x:row>
    <x:row r="16" ht="15" hidden="0" customHeight="1">
      <x:c r="A16" t="str">
        <x:v>Revenue schedules reconcile to P&amp;L</x:v>
      </x:c>
      <x:c r="B16" s="74" t="n">
        <x:f>ABS('Marketing &amp; Revenue Pipeline'!B47-'P&amp;L'!B9)+ABS('Marketing &amp; Revenue Pipeline'!C47-'P&amp;L'!C9)+ABS('Marketing &amp; Revenue Pipeline'!D47-'P&amp;L'!D9)+ABS('Marketing &amp; Revenue Pipeline'!E47-'P&amp;L'!E9)+ABS('Marketing &amp; Revenue Pipeline'!F47-'P&amp;L'!F9)+ABS('Marketing &amp; Revenue Pipeline'!G47-'P&amp;L'!G9)+ABS('Marketing &amp; Revenue Pipeline'!H47-'P&amp;L'!H9)+ABS('Marketing &amp; Revenue Pipeline'!I47-'P&amp;L'!I9)+ABS('Marketing &amp; Revenue Pipeline'!J47-'P&amp;L'!J9)+ABS('Marketing &amp; Revenue Pipeline'!K47-'P&amp;L'!K9)+ABS('Marketing &amp; Revenue Pipeline'!L47-'P&amp;L'!L9)+ABS('Marketing &amp; Revenue Pipeline'!M47-'P&amp;L'!M9)+ABS('Marketing &amp; Revenue Pipeline'!N47-'P&amp;L'!N9)+ABS('Marketing &amp; Revenue Pipeline'!O47-'P&amp;L'!O9)+ABS('Marketing &amp; Revenue Pipeline'!P47-'P&amp;L'!P9)+ABS('Marketing &amp; Revenue Pipeline'!Q47-'P&amp;L'!Q9)+ABS('Marketing &amp; Revenue Pipeline'!R47-'P&amp;L'!R9)+ABS('Marketing &amp; Revenue Pipeline'!S47-'P&amp;L'!S9)+ABS('Marketing &amp; Revenue Pipeline'!T47-'P&amp;L'!T9)+ABS('Marketing &amp; Revenue Pipeline'!U47-'P&amp;L'!U9)+ABS('Marketing &amp; Revenue Pipeline'!V47-'P&amp;L'!V9)+ABS('Marketing &amp; Revenue Pipeline'!W47-'P&amp;L'!W9)+ABS('Marketing &amp; Revenue Pipeline'!X47-'P&amp;L'!X9)+ABS('Marketing &amp; Revenue Pipeline'!Y47-'P&amp;L'!Y9)</x:f>
        <x:v>0</x:v>
      </x:c>
      <x:c r="C16" s="74" t="n">
        <x:f>0</x:f>
        <x:v>0</x:v>
      </x:c>
      <x:c r="D16" s="74" t="n">
        <x:f>B16-C16</x:f>
        <x:v>0</x:v>
      </x:c>
      <x:c r="E16" s="74" t="n">
        <x:v>0.01</x:v>
      </x:c>
      <x:c r="F16" s="82" t="str">
        <x:f>IF(ABS(D16)&lt;=E16,"PASS",IF(ABS(D16)&lt;=E16*5,"WARNING","FAIL"))</x:f>
        <x:v>PASS</x:v>
      </x:c>
    </x:row>
    <x:row r="17" ht="15" hidden="0" customHeight="1">
      <x:c r="A17" t="str">
        <x:v>Cost of Service reconciles to P&amp;L</x:v>
      </x:c>
      <x:c r="B17" s="74" t="n">
        <x:f>ABS('Cost of Service'!B14-'P&amp;L'!B10)+ABS('Cost of Service'!C14-'P&amp;L'!C10)+ABS('Cost of Service'!D14-'P&amp;L'!D10)+ABS('Cost of Service'!E14-'P&amp;L'!E10)+ABS('Cost of Service'!F14-'P&amp;L'!F10)+ABS('Cost of Service'!G14-'P&amp;L'!G10)+ABS('Cost of Service'!H14-'P&amp;L'!H10)+ABS('Cost of Service'!I14-'P&amp;L'!I10)+ABS('Cost of Service'!J14-'P&amp;L'!J10)+ABS('Cost of Service'!K14-'P&amp;L'!K10)+ABS('Cost of Service'!L14-'P&amp;L'!L10)+ABS('Cost of Service'!M14-'P&amp;L'!M10)+ABS('Cost of Service'!N14-'P&amp;L'!N10)+ABS('Cost of Service'!O14-'P&amp;L'!O10)+ABS('Cost of Service'!P14-'P&amp;L'!P10)+ABS('Cost of Service'!Q14-'P&amp;L'!Q10)+ABS('Cost of Service'!R14-'P&amp;L'!R10)+ABS('Cost of Service'!S14-'P&amp;L'!S10)+ABS('Cost of Service'!T14-'P&amp;L'!T10)+ABS('Cost of Service'!U14-'P&amp;L'!U10)+ABS('Cost of Service'!V14-'P&amp;L'!V10)+ABS('Cost of Service'!W14-'P&amp;L'!W10)+ABS('Cost of Service'!X14-'P&amp;L'!X10)+ABS('Cost of Service'!Y14-'P&amp;L'!Y10)</x:f>
        <x:v>0</x:v>
      </x:c>
      <x:c r="C17" s="74" t="n">
        <x:f>0</x:f>
        <x:v>0</x:v>
      </x:c>
      <x:c r="D17" s="74" t="n">
        <x:f>B17-C17</x:f>
        <x:v>0</x:v>
      </x:c>
      <x:c r="E17" s="74" t="n">
        <x:v>0.01</x:v>
      </x:c>
      <x:c r="F17" s="82" t="str">
        <x:f>IF(ABS(D17)&lt;=E17,"PASS",IF(ABS(D17)&lt;=E17*5,"WARNING","FAIL"))</x:f>
        <x:v>PASS</x:v>
      </x:c>
    </x:row>
    <x:row r="18" ht="15" hidden="0" customHeight="1">
      <x:c r="A18" t="str">
        <x:v>Technology Opex reconciles to P&amp;L</x:v>
      </x:c>
      <x:c r="B18" s="74" t="n">
        <x:f>ABS('Technology &amp; Product Investment'!B12-'P&amp;L'!B13)+ABS('Technology &amp; Product Investment'!C12-'P&amp;L'!C13)+ABS('Technology &amp; Product Investment'!D12-'P&amp;L'!D13)+ABS('Technology &amp; Product Investment'!E12-'P&amp;L'!E13)+ABS('Technology &amp; Product Investment'!F12-'P&amp;L'!F13)+ABS('Technology &amp; Product Investment'!G12-'P&amp;L'!G13)+ABS('Technology &amp; Product Investment'!H12-'P&amp;L'!H13)+ABS('Technology &amp; Product Investment'!I12-'P&amp;L'!I13)+ABS('Technology &amp; Product Investment'!J12-'P&amp;L'!J13)+ABS('Technology &amp; Product Investment'!K12-'P&amp;L'!K13)+ABS('Technology &amp; Product Investment'!L12-'P&amp;L'!L13)+ABS('Technology &amp; Product Investment'!M12-'P&amp;L'!M13)+ABS('Technology &amp; Product Investment'!N12-'P&amp;L'!N13)+ABS('Technology &amp; Product Investment'!O12-'P&amp;L'!O13)+ABS('Technology &amp; Product Investment'!P12-'P&amp;L'!P13)+ABS('Technology &amp; Product Investment'!Q12-'P&amp;L'!Q13)+ABS('Technology &amp; Product Investment'!R12-'P&amp;L'!R13)+ABS('Technology &amp; Product Investment'!S12-'P&amp;L'!S13)+ABS('Technology &amp; Product Investment'!T12-'P&amp;L'!T13)+ABS('Technology &amp; Product Investment'!U12-'P&amp;L'!U13)+ABS('Technology &amp; Product Investment'!V12-'P&amp;L'!V13)+ABS('Technology &amp; Product Investment'!W12-'P&amp;L'!W13)+ABS('Technology &amp; Product Investment'!X12-'P&amp;L'!X13)+ABS('Technology &amp; Product Investment'!Y12-'P&amp;L'!Y13)</x:f>
        <x:v>0</x:v>
      </x:c>
      <x:c r="C18" s="74" t="n">
        <x:f>0</x:f>
        <x:v>0</x:v>
      </x:c>
      <x:c r="D18" s="74" t="n">
        <x:f>B18-C18</x:f>
        <x:v>0</x:v>
      </x:c>
      <x:c r="E18" s="74" t="n">
        <x:v>0.01</x:v>
      </x:c>
      <x:c r="F18" s="82" t="str">
        <x:f>IF(ABS(D18)&lt;=E18,"PASS",IF(ABS(D18)&lt;=E18*5,"WARNING","FAIL"))</x:f>
        <x:v>PASS</x:v>
      </x:c>
    </x:row>
    <x:row r="19" ht="15" hidden="0" customHeight="1">
      <x:c r="A19" t="str">
        <x:v>Compliance expense reconciles to P&amp;L</x:v>
      </x:c>
      <x:c r="B19" s="74" t="n">
        <x:f>ABS('Compliance &amp; Regulatory'!B12+'Cash Flow &amp; Runway'!B10+'Cash Flow &amp; Runway'!B11-'P&amp;L'!B15)+ABS('Compliance &amp; Regulatory'!C12+'Cash Flow &amp; Runway'!C10+'Cash Flow &amp; Runway'!C11-'P&amp;L'!C15)+ABS('Compliance &amp; Regulatory'!D12+'Cash Flow &amp; Runway'!D10+'Cash Flow &amp; Runway'!D11-'P&amp;L'!D15)+ABS('Compliance &amp; Regulatory'!E12+'Cash Flow &amp; Runway'!E10+'Cash Flow &amp; Runway'!E11-'P&amp;L'!E15)+ABS('Compliance &amp; Regulatory'!F12+'Cash Flow &amp; Runway'!F10+'Cash Flow &amp; Runway'!F11-'P&amp;L'!F15)+ABS('Compliance &amp; Regulatory'!G12+'Cash Flow &amp; Runway'!G10+'Cash Flow &amp; Runway'!G11-'P&amp;L'!G15)+ABS('Compliance &amp; Regulatory'!H12+'Cash Flow &amp; Runway'!H10+'Cash Flow &amp; Runway'!H11-'P&amp;L'!H15)+ABS('Compliance &amp; Regulatory'!I12+'Cash Flow &amp; Runway'!I10+'Cash Flow &amp; Runway'!I11-'P&amp;L'!I15)+ABS('Compliance &amp; Regulatory'!J12+'Cash Flow &amp; Runway'!J10+'Cash Flow &amp; Runway'!J11-'P&amp;L'!J15)+ABS('Compliance &amp; Regulatory'!K12+'Cash Flow &amp; Runway'!K10+'Cash Flow &amp; Runway'!K11-'P&amp;L'!K15)+ABS('Compliance &amp; Regulatory'!L12+'Cash Flow &amp; Runway'!L10+'Cash Flow &amp; Runway'!L11-'P&amp;L'!L15)+ABS('Compliance &amp; Regulatory'!M12+'Cash Flow &amp; Runway'!M10+'Cash Flow &amp; Runway'!M11-'P&amp;L'!M15)+ABS('Compliance &amp; Regulatory'!N12+'Cash Flow &amp; Runway'!N10+'Cash Flow &amp; Runway'!N11-'P&amp;L'!N15)+ABS('Compliance &amp; Regulatory'!O12+'Cash Flow &amp; Runway'!O10+'Cash Flow &amp; Runway'!O11-'P&amp;L'!O15)+ABS('Compliance &amp; Regulatory'!P12+'Cash Flow &amp; Runway'!P10+'Cash Flow &amp; Runway'!P11-'P&amp;L'!P15)+ABS('Compliance &amp; Regulatory'!Q12+'Cash Flow &amp; Runway'!Q10+'Cash Flow &amp; Runway'!Q11-'P&amp;L'!Q15)+ABS('Compliance &amp; Regulatory'!R12+'Cash Flow &amp; Runway'!R10+'Cash Flow &amp; Runway'!R11-'P&amp;L'!R15)+ABS('Compliance &amp; Regulatory'!S12+'Cash Flow &amp; Runway'!S10+'Cash Flow &amp; Runway'!S11-'P&amp;L'!S15)+ABS('Compliance &amp; Regulatory'!T12+'Cash Flow &amp; Runway'!T10+'Cash Flow &amp; Runway'!T11-'P&amp;L'!T15)+ABS('Compliance &amp; Regulatory'!U12+'Cash Flow &amp; Runway'!U10+'Cash Flow &amp; Runway'!U11-'P&amp;L'!U15)+ABS('Compliance &amp; Regulatory'!V12+'Cash Flow &amp; Runway'!V10+'Cash Flow &amp; Runway'!V11-'P&amp;L'!V15)+ABS('Compliance &amp; Regulatory'!W12+'Cash Flow &amp; Runway'!W10+'Cash Flow &amp; Runway'!W11-'P&amp;L'!W15)+ABS('Compliance &amp; Regulatory'!X12+'Cash Flow &amp; Runway'!X10+'Cash Flow &amp; Runway'!X11-'P&amp;L'!X15)+ABS('Compliance &amp; Regulatory'!Y12+'Cash Flow &amp; Runway'!Y10+'Cash Flow &amp; Runway'!Y11-'P&amp;L'!Y15)</x:f>
        <x:v>0</x:v>
      </x:c>
      <x:c r="C19" s="74" t="n">
        <x:f>0</x:f>
        <x:v>0</x:v>
      </x:c>
      <x:c r="D19" s="74" t="n">
        <x:f>B19-C19</x:f>
        <x:v>0</x:v>
      </x:c>
      <x:c r="E19" s="74" t="n">
        <x:v>0.01</x:v>
      </x:c>
      <x:c r="F19" s="82" t="str">
        <x:f>IF(ABS(D19)&lt;=E19,"PASS",IF(ABS(D19)&lt;=E19*5,"WARNING","FAIL"))</x:f>
        <x:v>PASS</x:v>
      </x:c>
    </x:row>
    <x:row r="20" ht="15" hidden="0" customHeight="1">
      <x:c r="A20" t="str">
        <x:v>Capex roll-forward reconciles to Balance Sheet</x:v>
      </x:c>
      <x:c r="B20" s="74" t="n">
        <x:f>ABS('Technology &amp; Product Investment'!B18-('Balance Sheet'!B9+'Balance Sheet'!B10-'Balance Sheet'!B11))+ABS('Technology &amp; Product Investment'!C18-('Balance Sheet'!C9+'Balance Sheet'!C10-'Balance Sheet'!C11))+ABS('Technology &amp; Product Investment'!D18-('Balance Sheet'!D9+'Balance Sheet'!D10-'Balance Sheet'!D11))+ABS('Technology &amp; Product Investment'!E18-('Balance Sheet'!E9+'Balance Sheet'!E10-'Balance Sheet'!E11))+ABS('Technology &amp; Product Investment'!F18-('Balance Sheet'!F9+'Balance Sheet'!F10-'Balance Sheet'!F11))+ABS('Technology &amp; Product Investment'!G18-('Balance Sheet'!G9+'Balance Sheet'!G10-'Balance Sheet'!G11))+ABS('Technology &amp; Product Investment'!H18-('Balance Sheet'!H9+'Balance Sheet'!H10-'Balance Sheet'!H11))+ABS('Technology &amp; Product Investment'!I18-('Balance Sheet'!I9+'Balance Sheet'!I10-'Balance Sheet'!I11))+ABS('Technology &amp; Product Investment'!J18-('Balance Sheet'!J9+'Balance Sheet'!J10-'Balance Sheet'!J11))+ABS('Technology &amp; Product Investment'!K18-('Balance Sheet'!K9+'Balance Sheet'!K10-'Balance Sheet'!K11))+ABS('Technology &amp; Product Investment'!L18-('Balance Sheet'!L9+'Balance Sheet'!L10-'Balance Sheet'!L11))+ABS('Technology &amp; Product Investment'!M18-('Balance Sheet'!M9+'Balance Sheet'!M10-'Balance Sheet'!M11))+ABS('Technology &amp; Product Investment'!N18-('Balance Sheet'!N9+'Balance Sheet'!N10-'Balance Sheet'!N11))+ABS('Technology &amp; Product Investment'!O18-('Balance Sheet'!O9+'Balance Sheet'!O10-'Balance Sheet'!O11))+ABS('Technology &amp; Product Investment'!P18-('Balance Sheet'!P9+'Balance Sheet'!P10-'Balance Sheet'!P11))+ABS('Technology &amp; Product Investment'!Q18-('Balance Sheet'!Q9+'Balance Sheet'!Q10-'Balance Sheet'!Q11))+ABS('Technology &amp; Product Investment'!R18-('Balance Sheet'!R9+'Balance Sheet'!R10-'Balance Sheet'!R11))+ABS('Technology &amp; Product Investment'!S18-('Balance Sheet'!S9+'Balance Sheet'!S10-'Balance Sheet'!S11))+ABS('Technology &amp; Product Investment'!T18-('Balance Sheet'!T9+'Balance Sheet'!T10-'Balance Sheet'!T11))+ABS('Technology &amp; Product Investment'!U18-('Balance Sheet'!U9+'Balance Sheet'!U10-'Balance Sheet'!U11))+ABS('Technology &amp; Product Investment'!V18-('Balance Sheet'!V9+'Balance Sheet'!V10-'Balance Sheet'!V11))+ABS('Technology &amp; Product Investment'!W18-('Balance Sheet'!W9+'Balance Sheet'!W10-'Balance Sheet'!W11))+ABS('Technology &amp; Product Investment'!X18-('Balance Sheet'!X9+'Balance Sheet'!X10-'Balance Sheet'!X11))+ABS('Technology &amp; Product Investment'!Y18-('Balance Sheet'!Y9+'Balance Sheet'!Y10-'Balance Sheet'!Y11))</x:f>
        <x:v>2.6645352591003757e-14</x:v>
      </x:c>
      <x:c r="C20" s="74" t="n">
        <x:f>0</x:f>
        <x:v>0</x:v>
      </x:c>
      <x:c r="D20" s="74" t="n">
        <x:f>B20-C20</x:f>
        <x:v>2.6645352591003757e-14</x:v>
      </x:c>
      <x:c r="E20" s="74" t="n">
        <x:v>0.01</x:v>
      </x:c>
      <x:c r="F20" s="82" t="str">
        <x:f>IF(ABS(D20)&lt;=E20,"PASS",IF(ABS(D20)&lt;=E20*5,"WARNING","FAIL"))</x:f>
        <x:v>PASS</x:v>
      </x:c>
    </x:row>
    <x:row r="21" ht="15" hidden="0" customHeight="1">
      <x:c r="A21" t="str">
        <x:v>Regulatory deposits reconcile to Balance Sheet</x:v>
      </x:c>
      <x:c r="B21" s="74" t="n">
        <x:f>ABS('Compliance &amp; Regulatory'!B13-'Balance Sheet'!B12)+ABS('Compliance &amp; Regulatory'!C13-'Balance Sheet'!C12)+ABS('Compliance &amp; Regulatory'!D13-'Balance Sheet'!D12)+ABS('Compliance &amp; Regulatory'!E13-'Balance Sheet'!E12)+ABS('Compliance &amp; Regulatory'!F13-'Balance Sheet'!F12)+ABS('Compliance &amp; Regulatory'!G13-'Balance Sheet'!G12)+ABS('Compliance &amp; Regulatory'!H13-'Balance Sheet'!H12)+ABS('Compliance &amp; Regulatory'!I13-'Balance Sheet'!I12)+ABS('Compliance &amp; Regulatory'!J13-'Balance Sheet'!J12)+ABS('Compliance &amp; Regulatory'!K13-'Balance Sheet'!K12)+ABS('Compliance &amp; Regulatory'!L13-'Balance Sheet'!L12)+ABS('Compliance &amp; Regulatory'!M13-'Balance Sheet'!M12)+ABS('Compliance &amp; Regulatory'!N13-'Balance Sheet'!N12)+ABS('Compliance &amp; Regulatory'!O13-'Balance Sheet'!O12)+ABS('Compliance &amp; Regulatory'!P13-'Balance Sheet'!P12)+ABS('Compliance &amp; Regulatory'!Q13-'Balance Sheet'!Q12)+ABS('Compliance &amp; Regulatory'!R13-'Balance Sheet'!R12)+ABS('Compliance &amp; Regulatory'!S13-'Balance Sheet'!S12)+ABS('Compliance &amp; Regulatory'!T13-'Balance Sheet'!T12)+ABS('Compliance &amp; Regulatory'!U13-'Balance Sheet'!U12)+ABS('Compliance &amp; Regulatory'!V13-'Balance Sheet'!V12)+ABS('Compliance &amp; Regulatory'!W13-'Balance Sheet'!W12)+ABS('Compliance &amp; Regulatory'!X13-'Balance Sheet'!X12)+ABS('Compliance &amp; Regulatory'!Y13-'Balance Sheet'!Y12)</x:f>
        <x:v>0</x:v>
      </x:c>
      <x:c r="C21" s="74" t="n">
        <x:f>0</x:f>
        <x:v>0</x:v>
      </x:c>
      <x:c r="D21" s="74" t="n">
        <x:f>B21-C21</x:f>
        <x:v>0</x:v>
      </x:c>
      <x:c r="E21" s="74" t="n">
        <x:v>0.01</x:v>
      </x:c>
      <x:c r="F21" s="82" t="str">
        <x:f>IF(ABS(D21)&lt;=E21,"PASS",IF(ABS(D21)&lt;=E21*5,"WARNING","FAIL"))</x:f>
        <x:v>PASS</x:v>
      </x:c>
    </x:row>
    <x:row r="22" ht="15" hidden="0" customHeight="1">
      <x:c r="A22" t="str">
        <x:v>Retained earnings reconcile to P&amp;L</x:v>
      </x:c>
      <x:c r="B22" s="74" t="n">
        <x:f>'Balance Sheet'!Y18-SUM('P&amp;L'!B23:Y23)</x:f>
        <x:v>0</x:v>
      </x:c>
      <x:c r="C22" s="74" t="n">
        <x:f>0</x:f>
        <x:v>0</x:v>
      </x:c>
      <x:c r="D22" s="74" t="n">
        <x:f>B22-C22</x:f>
        <x:v>0</x:v>
      </x:c>
      <x:c r="E22" s="74" t="n">
        <x:v>0.01</x:v>
      </x:c>
      <x:c r="F22" s="82" t="str">
        <x:f>IF(ABS(D22)&lt;=E22,"PASS",IF(ABS(D22)&lt;=E22*5,"WARNING","FAIL"))</x:f>
        <x:v>PASS</x:v>
      </x:c>
    </x:row>
    <x:row r="23" ht="15" hidden="0" customHeight="1">
      <x:c r="A23" t="str">
        <x:v>Cash Flow closing cash equals Balance Sheet cash</x:v>
      </x:c>
      <x:c r="B23" s="74" t="n">
        <x:f>ABS('Cash Flow &amp; Runway'!B23-'Balance Sheet'!B6)+ABS('Cash Flow &amp; Runway'!C23-'Balance Sheet'!C6)+ABS('Cash Flow &amp; Runway'!D23-'Balance Sheet'!D6)+ABS('Cash Flow &amp; Runway'!E23-'Balance Sheet'!E6)+ABS('Cash Flow &amp; Runway'!F23-'Balance Sheet'!F6)+ABS('Cash Flow &amp; Runway'!G23-'Balance Sheet'!G6)+ABS('Cash Flow &amp; Runway'!H23-'Balance Sheet'!H6)+ABS('Cash Flow &amp; Runway'!I23-'Balance Sheet'!I6)+ABS('Cash Flow &amp; Runway'!J23-'Balance Sheet'!J6)+ABS('Cash Flow &amp; Runway'!K23-'Balance Sheet'!K6)+ABS('Cash Flow &amp; Runway'!L23-'Balance Sheet'!L6)+ABS('Cash Flow &amp; Runway'!M23-'Balance Sheet'!M6)+ABS('Cash Flow &amp; Runway'!N23-'Balance Sheet'!N6)+ABS('Cash Flow &amp; Runway'!O23-'Balance Sheet'!O6)+ABS('Cash Flow &amp; Runway'!P23-'Balance Sheet'!P6)+ABS('Cash Flow &amp; Runway'!Q23-'Balance Sheet'!Q6)+ABS('Cash Flow &amp; Runway'!R23-'Balance Sheet'!R6)+ABS('Cash Flow &amp; Runway'!S23-'Balance Sheet'!S6)+ABS('Cash Flow &amp; Runway'!T23-'Balance Sheet'!T6)+ABS('Cash Flow &amp; Runway'!U23-'Balance Sheet'!U6)+ABS('Cash Flow &amp; Runway'!V23-'Balance Sheet'!V6)+ABS('Cash Flow &amp; Runway'!W23-'Balance Sheet'!W6)+ABS('Cash Flow &amp; Runway'!X23-'Balance Sheet'!X6)+ABS('Cash Flow &amp; Runway'!Y23-'Balance Sheet'!Y6)</x:f>
        <x:v>0</x:v>
      </x:c>
      <x:c r="C23" s="74" t="n">
        <x:f>0</x:f>
        <x:v>0</x:v>
      </x:c>
      <x:c r="D23" s="74" t="n">
        <x:f>B23-C23</x:f>
        <x:v>0</x:v>
      </x:c>
      <x:c r="E23" s="74" t="n">
        <x:v>0.01</x:v>
      </x:c>
      <x:c r="F23" s="82" t="str">
        <x:f>IF(ABS(D23)&lt;=E23,"PASS",IF(ABS(D23)&lt;=E23*5,"WARNING","FAIL"))</x:f>
        <x:v>PASS</x:v>
      </x:c>
    </x:row>
    <x:row r="24" ht="15" hidden="0" customHeight="1">
      <x:c r="A24" t="str">
        <x:v>Balance Sheet balances every month</x:v>
      </x:c>
      <x:c r="B24" s="74" t="n">
        <x:f>ABS('Balance Sheet'!B21)+ABS('Balance Sheet'!C21)+ABS('Balance Sheet'!D21)+ABS('Balance Sheet'!E21)+ABS('Balance Sheet'!F21)+ABS('Balance Sheet'!G21)+ABS('Balance Sheet'!H21)+ABS('Balance Sheet'!I21)+ABS('Balance Sheet'!J21)+ABS('Balance Sheet'!K21)+ABS('Balance Sheet'!L21)+ABS('Balance Sheet'!M21)+ABS('Balance Sheet'!N21)+ABS('Balance Sheet'!O21)+ABS('Balance Sheet'!P21)+ABS('Balance Sheet'!Q21)+ABS('Balance Sheet'!R21)+ABS('Balance Sheet'!S21)+ABS('Balance Sheet'!T21)+ABS('Balance Sheet'!U21)+ABS('Balance Sheet'!V21)+ABS('Balance Sheet'!W21)+ABS('Balance Sheet'!X21)+ABS('Balance Sheet'!Y21)</x:f>
        <x:v>9.43600753089413e-12</x:v>
      </x:c>
      <x:c r="C24" s="74" t="n">
        <x:f>0</x:f>
        <x:v>0</x:v>
      </x:c>
      <x:c r="D24" s="74" t="n">
        <x:f>B24-C24</x:f>
        <x:v>9.43600753089413e-12</x:v>
      </x:c>
      <x:c r="E24" s="74" t="n">
        <x:v>0.01</x:v>
      </x:c>
      <x:c r="F24" s="82" t="str">
        <x:f>IF(ABS(D24)&lt;=E24,"PASS",IF(ABS(D24)&lt;=E24*5,"WARNING","FAIL"))</x:f>
        <x:v>PASS</x:v>
      </x:c>
    </x:row>
    <x:row r="25" ht="15" hidden="0" customHeight="1">
      <x:c r="A25" t="str">
        <x:v>Funding allocation = INR 10 crore</x:v>
      </x:c>
      <x:c r="B25" s="74" t="n">
        <x:f>'Funding Ask &amp; Deployment'!B13</x:f>
        <x:v>1000</x:v>
      </x:c>
      <x:c r="C25" s="74" t="n">
        <x:f>1000</x:f>
        <x:v>1000</x:v>
      </x:c>
      <x:c r="D25" s="74" t="n">
        <x:f>B25-C25</x:f>
        <x:v>0</x:v>
      </x:c>
      <x:c r="E25" s="74" t="n">
        <x:v>0.01</x:v>
      </x:c>
      <x:c r="F25" s="82" t="str">
        <x:f>IF(ABS(D25)&lt;=E25,"PASS",IF(ABS(D25)&lt;=E25*5,"WARNING","FAIL"))</x:f>
        <x:v>PASS</x:v>
      </x:c>
    </x:row>
    <x:row r="26" ht="15" hidden="0" customHeight="1">
      <x:c r="A26" t="str">
        <x:v>Actual deployment reconciles with Cash Flow</x:v>
      </x:c>
      <x:c r="B26" s="74" t="n">
        <x:f>'Funding Ask &amp; Deployment'!C12-'Cash Flow &amp; Runway'!Y23</x:f>
        <x:v>0</x:v>
      </x:c>
      <x:c r="C26" s="74" t="n">
        <x:f>0</x:f>
        <x:v>0</x:v>
      </x:c>
      <x:c r="D26" s="74" t="n">
        <x:f>B26-C26</x:f>
        <x:v>0</x:v>
      </x:c>
      <x:c r="E26" s="74" t="n">
        <x:v>0.01</x:v>
      </x:c>
      <x:c r="F26" s="82" t="str">
        <x:f>IF(ABS(D26)&lt;=E26,"PASS",IF(ABS(D26)&lt;=E26*5,"WARNING","FAIL"))</x:f>
        <x:v>PASS</x:v>
      </x:c>
    </x:row>
    <x:row r="27" ht="15" hidden="0" customHeight="1">
      <x:c r="A27" t="str">
        <x:v>GTM variance vs INR 3 crore shown</x:v>
      </x:c>
      <x:c r="B27" s="74" t="n">
        <x:f>'Marketing &amp; Revenue Pipeline'!Y31</x:f>
        <x:v>228.1875</x:v>
      </x:c>
      <x:c r="C27" s="74" t="n">
        <x:f>300-'Marketing &amp; Revenue Pipeline'!Y28</x:f>
        <x:v>228.1875</x:v>
      </x:c>
      <x:c r="D27" s="74" t="n">
        <x:f>B27-C27</x:f>
        <x:v>0</x:v>
      </x:c>
      <x:c r="E27" s="74" t="n">
        <x:v>0.01</x:v>
      </x:c>
      <x:c r="F27" s="82" t="str">
        <x:f>IF(ABS(D27)&lt;=E27,"PASS",IF(ABS(D27)&lt;=E27*5,"WARNING","FAIL"))</x:f>
        <x:v>PASS</x:v>
      </x:c>
    </x:row>
    <x:row r="28" ht="15" hidden="0" customHeight="1">
      <x:c r="A28" t="str">
        <x:v>Year 1 + Year 2 revenue reconciles to monthly</x:v>
      </x:c>
      <x:c r="B28" s="74" t="n">
        <x:f>'P&amp;L'!Z9+'P&amp;L'!AA9-SUM('P&amp;L'!B9:Y9)</x:f>
        <x:v>7.105427357601002e-15</x:v>
      </x:c>
      <x:c r="C28" s="74" t="n">
        <x:f>0</x:f>
        <x:v>0</x:v>
      </x:c>
      <x:c r="D28" s="74" t="n">
        <x:f>B28-C28</x:f>
        <x:v>7.105427357601002e-15</x:v>
      </x:c>
      <x:c r="E28" s="74" t="n">
        <x:v>0.01</x:v>
      </x:c>
      <x:c r="F28" s="82" t="str">
        <x:f>IF(ABS(D28)&lt;=E28,"PASS",IF(ABS(D28)&lt;=E28*5,"WARNING","FAIL"))</x:f>
        <x:v>PASS</x:v>
      </x:c>
    </x:row>
    <x:row r="29" ht="15" hidden="0" customHeight="1">
      <x:c r="A29" t="str">
        <x:v>Organic share M13-M24 approx 10%</x:v>
      </x:c>
      <x:c r="B29" s="74" t="n">
        <x:f>AVERAGE('Marketing &amp; Revenue Pipeline'!N19/'Marketing &amp; Revenue Pipeline'!N20,'Marketing &amp; Revenue Pipeline'!O19/'Marketing &amp; Revenue Pipeline'!O20,'Marketing &amp; Revenue Pipeline'!P19/'Marketing &amp; Revenue Pipeline'!P20,'Marketing &amp; Revenue Pipeline'!Q19/'Marketing &amp; Revenue Pipeline'!Q20,'Marketing &amp; Revenue Pipeline'!R19/'Marketing &amp; Revenue Pipeline'!R20,'Marketing &amp; Revenue Pipeline'!S19/'Marketing &amp; Revenue Pipeline'!S20,'Marketing &amp; Revenue Pipeline'!T19/'Marketing &amp; Revenue Pipeline'!T20,'Marketing &amp; Revenue Pipeline'!U19/'Marketing &amp; Revenue Pipeline'!U20,'Marketing &amp; Revenue Pipeline'!V19/'Marketing &amp; Revenue Pipeline'!V20,'Marketing &amp; Revenue Pipeline'!W19/'Marketing &amp; Revenue Pipeline'!W20,'Marketing &amp; Revenue Pipeline'!X19/'Marketing &amp; Revenue Pipeline'!X20,'Marketing &amp; Revenue Pipeline'!Y19/'Marketing &amp; Revenue Pipeline'!Y20)</x:f>
        <x:v>0.09999999999999999</x:v>
      </x:c>
      <x:c r="C29" s="74" t="n">
        <x:f>0.1</x:f>
        <x:v>0.1</x:v>
      </x:c>
      <x:c r="D29" s="74" t="n">
        <x:f>B29-C29</x:f>
        <x:v>-1.3877787807814457e-17</x:v>
      </x:c>
      <x:c r="E29" s="74" t="n">
        <x:v>0.015</x:v>
      </x:c>
      <x:c r="F29" s="82" t="str">
        <x:f>IF(ABS(D29)&lt;=E29,"PASS",IF(ABS(D29)&lt;=E29*5,"WARNING","FAIL"))</x:f>
        <x:v>PASS</x:v>
      </x:c>
    </x:row>
    <x:row r="30" ht="15" hidden="0" customHeight="1">
      <x:c r="B30" s="74"/>
      <x:c r="C30" s="74"/>
      <x:c r="D30" s="74"/>
      <x:c r="E30" s="74"/>
      <x:c r="F30" s="82"/>
    </x:row>
    <x:row r="31" ht="15" hidden="0" customHeight="1">
      <x:c r="B31" s="74"/>
      <x:c r="C31" s="74"/>
      <x:c r="D31" s="74"/>
      <x:c r="E31" s="74"/>
      <x:c r="F31" s="82"/>
    </x:row>
    <x:row r="32" ht="15" hidden="0" customHeight="1">
      <x:c r="A32" s="73" t="str">
        <x:v>MODEL STATUS</x:v>
      </x:c>
      <x:c r="B32" s="75"/>
      <x:c r="C32" s="75"/>
      <x:c r="D32" s="75"/>
      <x:c r="E32" s="75"/>
      <x:c r="F32" s="73" t="str">
        <x:f>IF(COUNTIF(F5:F29,"FAIL")&gt;0,"FAIL",IF(COUNTIF(F5:F29,"WARNING")&gt;0,"WARNING","PASS"))</x:f>
        <x:v>PASS</x:v>
      </x:c>
    </x:row>
  </x:sheetData>
  <x:mergeCells>
    <x:mergeCell ref="A1:H1"/>
    <x:mergeCell ref="A2:H2"/>
  </x:mergeCells>
  <x:pageMargins left="0.7" right="0.7" top="0.75" bottom="0.75" header="0.3" footer="0.3"/>
</x:worksheet>
</file>